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чий стол\"/>
    </mc:Choice>
  </mc:AlternateContent>
  <bookViews>
    <workbookView xWindow="0" yWindow="0" windowWidth="10995" windowHeight="9870" tabRatio="838" firstSheet="1" activeTab="2"/>
  </bookViews>
  <sheets>
    <sheet name="Звіт про виконання показ фінпла" sheetId="14" r:id="rId1"/>
    <sheet name="Розшифровка 1 до Формування" sheetId="22" r:id="rId2"/>
    <sheet name="Розшифровка 2 до формування" sheetId="26" r:id="rId3"/>
    <sheet name="Розшифровка кап" sheetId="24" r:id="rId4"/>
    <sheet name="Розшифровка за джерелами" sheetId="9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'Звіт про виконання показ фінпла'!$4:$6</definedName>
    <definedName name="_xlnm.Print_Titles" localSheetId="1">'Розшифровка 1 до Формування'!$3:$4</definedName>
    <definedName name="_xlnm.Print_Titles" localSheetId="2">'Розшифровка 2 до формування'!$3:$4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0">'Звіт про виконання показ фінпла'!$A$1:$H$98</definedName>
    <definedName name="_xlnm.Print_Area" localSheetId="1">'Розшифровка 1 до Формування'!$A$1:$H$109</definedName>
    <definedName name="_xlnm.Print_Area" localSheetId="2">'Розшифровка 2 до формування'!$A$1:$H$198</definedName>
    <definedName name="_xlnm.Print_Area" localSheetId="4">'Розшифровка за джерелами'!$A$1:$N$41</definedName>
    <definedName name="_xlnm.Print_Area" localSheetId="3">'Розшифровка кап'!$A$1:$G$48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62913"/>
</workbook>
</file>

<file path=xl/calcChain.xml><?xml version="1.0" encoding="utf-8"?>
<calcChain xmlns="http://schemas.openxmlformats.org/spreadsheetml/2006/main">
  <c r="E6" i="24" l="1"/>
  <c r="E5" i="24" s="1"/>
  <c r="G41" i="24" l="1"/>
  <c r="G40" i="24"/>
  <c r="G39" i="24"/>
  <c r="G38" i="24"/>
  <c r="G37" i="24"/>
  <c r="G36" i="24"/>
  <c r="G35" i="24"/>
  <c r="G34" i="24"/>
  <c r="G33" i="24"/>
  <c r="G32" i="24"/>
  <c r="G31" i="24"/>
  <c r="G30" i="24"/>
  <c r="G29" i="24"/>
  <c r="G28" i="24"/>
  <c r="G27" i="24"/>
  <c r="G26" i="24"/>
  <c r="G25" i="24"/>
  <c r="G24" i="24"/>
  <c r="G23" i="24"/>
  <c r="G22" i="24"/>
  <c r="G21" i="24"/>
  <c r="G20" i="24"/>
  <c r="G19" i="24"/>
  <c r="G18" i="24"/>
  <c r="G17" i="24"/>
  <c r="G16" i="24"/>
  <c r="G15" i="24"/>
  <c r="G14" i="24"/>
  <c r="G13" i="24"/>
  <c r="G12" i="24"/>
  <c r="G11" i="24"/>
  <c r="G10" i="24"/>
  <c r="F41" i="24"/>
  <c r="F40" i="24"/>
  <c r="F39" i="24"/>
  <c r="F38" i="24"/>
  <c r="F37" i="24"/>
  <c r="F36" i="24"/>
  <c r="F35" i="24"/>
  <c r="F34" i="24"/>
  <c r="F33" i="24"/>
  <c r="F32" i="24"/>
  <c r="F31" i="24"/>
  <c r="F30" i="24"/>
  <c r="F29" i="24"/>
  <c r="F28" i="24"/>
  <c r="F27" i="24"/>
  <c r="F26" i="24"/>
  <c r="F25" i="24"/>
  <c r="F24" i="24"/>
  <c r="F23" i="24"/>
  <c r="F22" i="24"/>
  <c r="F21" i="24"/>
  <c r="F20" i="24"/>
  <c r="F19" i="24"/>
  <c r="F18" i="24"/>
  <c r="F17" i="24"/>
  <c r="F16" i="24"/>
  <c r="F15" i="24"/>
  <c r="F14" i="24"/>
  <c r="F13" i="24"/>
  <c r="F12" i="24"/>
  <c r="F11" i="24"/>
  <c r="F10" i="24"/>
  <c r="F9" i="24"/>
  <c r="F8" i="24"/>
  <c r="F7" i="24"/>
  <c r="N36" i="9"/>
  <c r="N35" i="9"/>
  <c r="N34" i="9"/>
  <c r="N33" i="9"/>
  <c r="N32" i="9"/>
  <c r="N31" i="9"/>
  <c r="N30" i="9"/>
  <c r="N29" i="9"/>
  <c r="N28" i="9"/>
  <c r="N27" i="9"/>
  <c r="N26" i="9"/>
  <c r="N25" i="9"/>
  <c r="N24" i="9"/>
  <c r="N23" i="9"/>
  <c r="N22" i="9"/>
  <c r="N21" i="9"/>
  <c r="N20" i="9"/>
  <c r="N19" i="9"/>
  <c r="N18" i="9"/>
  <c r="N17" i="9"/>
  <c r="N16" i="9"/>
  <c r="N15" i="9"/>
  <c r="N11" i="9"/>
  <c r="N10" i="9"/>
  <c r="N9" i="9"/>
  <c r="N8" i="9"/>
  <c r="N7" i="9"/>
  <c r="L38" i="9"/>
  <c r="L37" i="9"/>
  <c r="L36" i="9"/>
  <c r="L35" i="9"/>
  <c r="L34" i="9"/>
  <c r="L33" i="9"/>
  <c r="L32" i="9"/>
  <c r="M32" i="9" s="1"/>
  <c r="L31" i="9"/>
  <c r="M31" i="9" s="1"/>
  <c r="L30" i="9"/>
  <c r="L29" i="9"/>
  <c r="L28" i="9"/>
  <c r="L27" i="9"/>
  <c r="L26" i="9"/>
  <c r="L25" i="9"/>
  <c r="L24" i="9"/>
  <c r="M24" i="9" s="1"/>
  <c r="L23" i="9"/>
  <c r="M23" i="9" s="1"/>
  <c r="L22" i="9"/>
  <c r="L21" i="9"/>
  <c r="L20" i="9"/>
  <c r="L19" i="9"/>
  <c r="L18" i="9"/>
  <c r="L17" i="9"/>
  <c r="L16" i="9"/>
  <c r="M16" i="9" s="1"/>
  <c r="L15" i="9"/>
  <c r="M15" i="9" s="1"/>
  <c r="L14" i="9"/>
  <c r="L13" i="9"/>
  <c r="L12" i="9"/>
  <c r="M12" i="9" s="1"/>
  <c r="L11" i="9"/>
  <c r="L10" i="9"/>
  <c r="L9" i="9"/>
  <c r="L8" i="9"/>
  <c r="M8" i="9" s="1"/>
  <c r="L7" i="9"/>
  <c r="M7" i="9" s="1"/>
  <c r="M36" i="9"/>
  <c r="M35" i="9"/>
  <c r="M34" i="9"/>
  <c r="M33" i="9"/>
  <c r="M30" i="9"/>
  <c r="M29" i="9"/>
  <c r="M28" i="9"/>
  <c r="M27" i="9"/>
  <c r="M26" i="9"/>
  <c r="M25" i="9"/>
  <c r="M22" i="9"/>
  <c r="M21" i="9"/>
  <c r="M20" i="9"/>
  <c r="M19" i="9"/>
  <c r="M18" i="9"/>
  <c r="M17" i="9"/>
  <c r="M14" i="9"/>
  <c r="M13" i="9"/>
  <c r="M11" i="9"/>
  <c r="M10" i="9"/>
  <c r="M9" i="9"/>
  <c r="J6" i="9"/>
  <c r="D96" i="14" l="1"/>
  <c r="D95" i="14"/>
  <c r="D94" i="14"/>
  <c r="D89" i="14"/>
  <c r="D85" i="14"/>
  <c r="F85" i="14"/>
  <c r="F96" i="14"/>
  <c r="F95" i="14"/>
  <c r="F94" i="14"/>
  <c r="F96" i="22"/>
  <c r="F94" i="22"/>
  <c r="F93" i="22"/>
  <c r="F50" i="22"/>
  <c r="F104" i="22"/>
  <c r="F67" i="22"/>
  <c r="F60" i="22"/>
  <c r="F49" i="22"/>
  <c r="F53" i="22"/>
  <c r="F38" i="22"/>
  <c r="F44" i="22"/>
  <c r="F43" i="22"/>
  <c r="F42" i="22"/>
  <c r="F41" i="22"/>
  <c r="F39" i="22"/>
  <c r="F34" i="22"/>
  <c r="F31" i="22"/>
  <c r="F30" i="22"/>
  <c r="F27" i="22"/>
  <c r="F26" i="22"/>
  <c r="F46" i="22" l="1"/>
  <c r="F162" i="26" l="1"/>
  <c r="G159" i="26"/>
  <c r="K38" i="9" l="1"/>
  <c r="M38" i="9" s="1"/>
  <c r="H6" i="9"/>
  <c r="C44" i="24" l="1"/>
  <c r="D44" i="24"/>
  <c r="E44" i="24"/>
  <c r="F45" i="24"/>
  <c r="F46" i="24"/>
  <c r="F44" i="24" l="1"/>
  <c r="F73" i="26" l="1"/>
  <c r="F24" i="26"/>
  <c r="H74" i="26"/>
  <c r="G74" i="26"/>
  <c r="E96" i="14" l="1"/>
  <c r="E95" i="14"/>
  <c r="E94" i="14"/>
  <c r="C96" i="14"/>
  <c r="C95" i="14"/>
  <c r="C94" i="14"/>
  <c r="I6" i="9"/>
  <c r="J37" i="9"/>
  <c r="E119" i="26"/>
  <c r="E73" i="26"/>
  <c r="D6" i="22" l="1"/>
  <c r="F9" i="14" l="1"/>
  <c r="F61" i="26" l="1"/>
  <c r="F89" i="14" l="1"/>
  <c r="E49" i="14" l="1"/>
  <c r="E48" i="14"/>
  <c r="E47" i="14"/>
  <c r="E46" i="14"/>
  <c r="E45" i="14"/>
  <c r="F49" i="14"/>
  <c r="F48" i="14"/>
  <c r="F47" i="14"/>
  <c r="F46" i="14"/>
  <c r="F45" i="14"/>
  <c r="D49" i="14"/>
  <c r="D48" i="14"/>
  <c r="D47" i="14"/>
  <c r="D46" i="14"/>
  <c r="D45" i="14"/>
  <c r="C49" i="14"/>
  <c r="C47" i="14"/>
  <c r="C46" i="14"/>
  <c r="C45" i="14"/>
  <c r="F25" i="14"/>
  <c r="F22" i="14"/>
  <c r="F16" i="14"/>
  <c r="F15" i="14"/>
  <c r="F31" i="14" l="1"/>
  <c r="F36" i="14" s="1"/>
  <c r="F39" i="14" s="1"/>
  <c r="D162" i="26"/>
  <c r="H50" i="22"/>
  <c r="G50" i="22"/>
  <c r="E84" i="22"/>
  <c r="D84" i="22"/>
  <c r="E59" i="22"/>
  <c r="D72" i="22"/>
  <c r="D60" i="22"/>
  <c r="D46" i="22" s="1"/>
  <c r="E57" i="22"/>
  <c r="E48" i="22"/>
  <c r="E22" i="14"/>
  <c r="F86" i="22" l="1"/>
  <c r="F79" i="22"/>
  <c r="E9" i="26" l="1"/>
  <c r="F52" i="26"/>
  <c r="F70" i="26"/>
  <c r="H115" i="26" l="1"/>
  <c r="G115" i="26"/>
  <c r="H117" i="26"/>
  <c r="G117" i="26"/>
  <c r="H116" i="26"/>
  <c r="G116" i="26"/>
  <c r="H191" i="26"/>
  <c r="G191" i="26"/>
  <c r="H190" i="26"/>
  <c r="G190" i="26"/>
  <c r="H187" i="26"/>
  <c r="G187" i="26"/>
  <c r="H186" i="26"/>
  <c r="G186" i="26"/>
  <c r="H184" i="26"/>
  <c r="G184" i="26"/>
  <c r="H183" i="26"/>
  <c r="G183" i="26"/>
  <c r="F182" i="26"/>
  <c r="G182" i="26" s="1"/>
  <c r="F80" i="26"/>
  <c r="H182" i="26" l="1"/>
  <c r="F9" i="26" l="1"/>
  <c r="F8" i="26" s="1"/>
  <c r="F93" i="26" l="1"/>
  <c r="G133" i="26" l="1"/>
  <c r="E46" i="22" l="1"/>
  <c r="G59" i="22"/>
  <c r="H59" i="22"/>
  <c r="C6" i="24" l="1"/>
  <c r="C5" i="24" s="1"/>
  <c r="E189" i="26"/>
  <c r="E80" i="26"/>
  <c r="E52" i="26"/>
  <c r="E24" i="26"/>
  <c r="G14" i="26"/>
  <c r="D189" i="26" l="1"/>
  <c r="D188" i="26" s="1"/>
  <c r="D80" i="26" l="1"/>
  <c r="D73" i="26"/>
  <c r="D24" i="26"/>
  <c r="D52" i="26" l="1"/>
  <c r="D9" i="26"/>
  <c r="E6" i="22"/>
  <c r="E20" i="22"/>
  <c r="E18" i="22"/>
  <c r="G22" i="22" l="1"/>
  <c r="E195" i="26" l="1"/>
  <c r="F195" i="26"/>
  <c r="D195" i="26"/>
  <c r="G196" i="26"/>
  <c r="G195" i="26" l="1"/>
  <c r="E79" i="22" l="1"/>
  <c r="D81" i="14" l="1"/>
  <c r="D93" i="14" s="1"/>
  <c r="D114" i="26" l="1"/>
  <c r="D93" i="26" l="1"/>
  <c r="F179" i="26"/>
  <c r="F178" i="26" s="1"/>
  <c r="F170" i="26"/>
  <c r="F114" i="26"/>
  <c r="F126" i="26"/>
  <c r="F101" i="26"/>
  <c r="F79" i="26"/>
  <c r="D25" i="22" l="1"/>
  <c r="D20" i="22"/>
  <c r="D18" i="22"/>
  <c r="D10" i="22"/>
  <c r="D25" i="14"/>
  <c r="D22" i="14"/>
  <c r="D42" i="14" s="1"/>
  <c r="D16" i="14"/>
  <c r="D9" i="14"/>
  <c r="D15" i="14" s="1"/>
  <c r="D31" i="14" l="1"/>
  <c r="D36" i="14" s="1"/>
  <c r="D39" i="14" s="1"/>
  <c r="D43" i="14"/>
  <c r="D40" i="14" s="1"/>
  <c r="C22" i="14"/>
  <c r="H31" i="22" l="1"/>
  <c r="G74" i="22" l="1"/>
  <c r="G75" i="22" l="1"/>
  <c r="C81" i="14" l="1"/>
  <c r="F6" i="22"/>
  <c r="F20" i="22"/>
  <c r="G65" i="22" l="1"/>
  <c r="G54" i="22"/>
  <c r="H47" i="22"/>
  <c r="H48" i="22"/>
  <c r="H49" i="22"/>
  <c r="H51" i="22"/>
  <c r="H52" i="22"/>
  <c r="H53" i="22"/>
  <c r="H54" i="22"/>
  <c r="H55" i="22"/>
  <c r="H56" i="22"/>
  <c r="H57" i="22"/>
  <c r="H58" i="22"/>
  <c r="H60" i="22"/>
  <c r="H61" i="22"/>
  <c r="H62" i="22"/>
  <c r="H63" i="22"/>
  <c r="H65" i="22"/>
  <c r="H66" i="22"/>
  <c r="H67" i="22"/>
  <c r="H70" i="22"/>
  <c r="H71" i="22"/>
  <c r="H72" i="22"/>
  <c r="H39" i="22"/>
  <c r="H40" i="22"/>
  <c r="H41" i="22"/>
  <c r="H42" i="22"/>
  <c r="H43" i="22"/>
  <c r="H44" i="22"/>
  <c r="H27" i="22"/>
  <c r="H28" i="22"/>
  <c r="H30" i="22"/>
  <c r="H34" i="22"/>
  <c r="H35" i="22"/>
  <c r="H26" i="22"/>
  <c r="H19" i="22"/>
  <c r="G9" i="22"/>
  <c r="H13" i="14"/>
  <c r="H194" i="26"/>
  <c r="F193" i="26"/>
  <c r="F192" i="26" s="1"/>
  <c r="E193" i="26"/>
  <c r="E192" i="26" s="1"/>
  <c r="H193" i="26" l="1"/>
  <c r="G192" i="26"/>
  <c r="H14" i="14"/>
  <c r="H53" i="14"/>
  <c r="H32" i="14"/>
  <c r="H27" i="14"/>
  <c r="H28" i="14"/>
  <c r="G8" i="24"/>
  <c r="G9" i="24"/>
  <c r="G7" i="24"/>
  <c r="G194" i="26"/>
  <c r="G193" i="26"/>
  <c r="G185" i="26"/>
  <c r="H181" i="26"/>
  <c r="G163" i="26"/>
  <c r="G164" i="26"/>
  <c r="G165" i="26"/>
  <c r="G171" i="26"/>
  <c r="G174" i="26"/>
  <c r="G147" i="26"/>
  <c r="G137" i="26"/>
  <c r="H134" i="26"/>
  <c r="H135" i="26"/>
  <c r="H136" i="26"/>
  <c r="H133" i="26"/>
  <c r="H106" i="26"/>
  <c r="H107" i="26"/>
  <c r="H108" i="26"/>
  <c r="H109" i="26"/>
  <c r="H110" i="26"/>
  <c r="H112" i="26"/>
  <c r="H113" i="26"/>
  <c r="H102" i="26"/>
  <c r="G104" i="26"/>
  <c r="H82" i="26"/>
  <c r="H83" i="26"/>
  <c r="H84" i="26"/>
  <c r="H81" i="26"/>
  <c r="H66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2" i="26"/>
  <c r="H43" i="26"/>
  <c r="H44" i="26"/>
  <c r="H46" i="26"/>
  <c r="H47" i="26"/>
  <c r="H25" i="26"/>
  <c r="G10" i="26"/>
  <c r="H10" i="26" s="1"/>
  <c r="G11" i="26"/>
  <c r="H11" i="26" s="1"/>
  <c r="G12" i="26"/>
  <c r="G13" i="26"/>
  <c r="H13" i="26" s="1"/>
  <c r="G15" i="26"/>
  <c r="H15" i="26" s="1"/>
  <c r="G16" i="26"/>
  <c r="H16" i="26" s="1"/>
  <c r="G17" i="26"/>
  <c r="H17" i="26" s="1"/>
  <c r="G18" i="26"/>
  <c r="G19" i="26"/>
  <c r="H19" i="26" s="1"/>
  <c r="E93" i="26" l="1"/>
  <c r="E92" i="26" s="1"/>
  <c r="E91" i="26" s="1"/>
  <c r="F119" i="26"/>
  <c r="D119" i="26"/>
  <c r="E139" i="26"/>
  <c r="E138" i="26" s="1"/>
  <c r="F139" i="26"/>
  <c r="F138" i="26" s="1"/>
  <c r="D139" i="26"/>
  <c r="D138" i="26" s="1"/>
  <c r="D6" i="9"/>
  <c r="E6" i="9"/>
  <c r="F6" i="9"/>
  <c r="G6" i="9"/>
  <c r="C6" i="9"/>
  <c r="F81" i="14"/>
  <c r="F93" i="14" s="1"/>
  <c r="N14" i="9" l="1"/>
  <c r="N12" i="9"/>
  <c r="L6" i="9"/>
  <c r="N6" i="9" s="1"/>
  <c r="N13" i="9"/>
  <c r="M6" i="9" l="1"/>
  <c r="E188" i="26"/>
  <c r="G101" i="22"/>
  <c r="G99" i="22"/>
  <c r="F25" i="22"/>
  <c r="G45" i="22"/>
  <c r="G73" i="22"/>
  <c r="G72" i="22"/>
  <c r="G71" i="22"/>
  <c r="G70" i="22"/>
  <c r="G68" i="22"/>
  <c r="G67" i="22"/>
  <c r="G36" i="22"/>
  <c r="D5" i="22" l="1"/>
  <c r="D101" i="26"/>
  <c r="D132" i="26"/>
  <c r="D131" i="26" l="1"/>
  <c r="D86" i="22"/>
  <c r="D170" i="26"/>
  <c r="D126" i="26"/>
  <c r="D125" i="26" s="1"/>
  <c r="D124" i="26" s="1"/>
  <c r="D92" i="26" l="1"/>
  <c r="D91" i="26" s="1"/>
  <c r="D61" i="26"/>
  <c r="D51" i="26" s="1"/>
  <c r="F189" i="26" l="1"/>
  <c r="F132" i="26"/>
  <c r="F131" i="26" s="1"/>
  <c r="H189" i="26" l="1"/>
  <c r="G189" i="26"/>
  <c r="F188" i="26"/>
  <c r="F129" i="26"/>
  <c r="F51" i="26"/>
  <c r="G39" i="26"/>
  <c r="F6" i="26" l="1"/>
  <c r="H188" i="26"/>
  <c r="G188" i="26"/>
  <c r="F180" i="26"/>
  <c r="F176" i="26"/>
  <c r="F10" i="22" l="1"/>
  <c r="D6" i="24" l="1"/>
  <c r="E132" i="26" l="1"/>
  <c r="G113" i="26"/>
  <c r="G112" i="26"/>
  <c r="E101" i="26"/>
  <c r="E79" i="26"/>
  <c r="E77" i="26" s="1"/>
  <c r="G85" i="26"/>
  <c r="G84" i="26"/>
  <c r="E61" i="26"/>
  <c r="E86" i="22"/>
  <c r="H46" i="22"/>
  <c r="E131" i="26" l="1"/>
  <c r="H132" i="26"/>
  <c r="D37" i="9"/>
  <c r="D39" i="9" s="1"/>
  <c r="E37" i="9"/>
  <c r="F37" i="9"/>
  <c r="G37" i="9"/>
  <c r="H37" i="9"/>
  <c r="H39" i="9" s="1"/>
  <c r="I39" i="9"/>
  <c r="J39" i="9"/>
  <c r="C37" i="9"/>
  <c r="K37" i="9" l="1"/>
  <c r="K39" i="9" s="1"/>
  <c r="E129" i="26"/>
  <c r="H131" i="26"/>
  <c r="G39" i="9"/>
  <c r="C39" i="9"/>
  <c r="E39" i="9"/>
  <c r="F39" i="9"/>
  <c r="M37" i="9"/>
  <c r="L39" i="9" l="1"/>
  <c r="G80" i="22"/>
  <c r="N39" i="9" l="1"/>
  <c r="G170" i="26"/>
  <c r="M39" i="9"/>
  <c r="F151" i="26"/>
  <c r="F150" i="26" s="1"/>
  <c r="E180" i="26"/>
  <c r="D180" i="26"/>
  <c r="D179" i="26" s="1"/>
  <c r="D178" i="26" s="1"/>
  <c r="E176" i="26"/>
  <c r="D176" i="26"/>
  <c r="E169" i="26"/>
  <c r="D173" i="26"/>
  <c r="E162" i="26"/>
  <c r="G162" i="26" s="1"/>
  <c r="E151" i="26"/>
  <c r="D151" i="26"/>
  <c r="E143" i="26"/>
  <c r="D143" i="26"/>
  <c r="F118" i="26"/>
  <c r="E70" i="26"/>
  <c r="D70" i="26"/>
  <c r="H22" i="26"/>
  <c r="H23" i="26"/>
  <c r="D142" i="26" l="1"/>
  <c r="E142" i="26"/>
  <c r="D169" i="26"/>
  <c r="E175" i="26"/>
  <c r="E179" i="26"/>
  <c r="H180" i="26"/>
  <c r="E150" i="26"/>
  <c r="E148" i="26" s="1"/>
  <c r="D150" i="26"/>
  <c r="D175" i="26"/>
  <c r="G22" i="26"/>
  <c r="G23" i="26"/>
  <c r="H179" i="26" l="1"/>
  <c r="E178" i="26"/>
  <c r="H178" i="26" s="1"/>
  <c r="D79" i="26"/>
  <c r="F77" i="26"/>
  <c r="H80" i="26"/>
  <c r="D148" i="26"/>
  <c r="H7" i="22"/>
  <c r="G7" i="22"/>
  <c r="H82" i="14"/>
  <c r="H83" i="14"/>
  <c r="H84" i="14"/>
  <c r="H86" i="14"/>
  <c r="H87" i="14"/>
  <c r="H88" i="14"/>
  <c r="H90" i="14"/>
  <c r="H91" i="14"/>
  <c r="H92" i="14"/>
  <c r="G82" i="14"/>
  <c r="G83" i="14"/>
  <c r="G84" i="14"/>
  <c r="G86" i="14"/>
  <c r="G87" i="14"/>
  <c r="G88" i="14"/>
  <c r="G90" i="14"/>
  <c r="G91" i="14"/>
  <c r="G92" i="14"/>
  <c r="G71" i="14"/>
  <c r="G72" i="14"/>
  <c r="G73" i="14"/>
  <c r="G74" i="14"/>
  <c r="G75" i="14"/>
  <c r="G77" i="14"/>
  <c r="G53" i="14"/>
  <c r="G54" i="14"/>
  <c r="G55" i="14"/>
  <c r="G56" i="14"/>
  <c r="G58" i="14"/>
  <c r="G59" i="14"/>
  <c r="G60" i="14"/>
  <c r="G61" i="14"/>
  <c r="G62" i="14"/>
  <c r="G63" i="14"/>
  <c r="G65" i="14"/>
  <c r="G66" i="14"/>
  <c r="G67" i="14"/>
  <c r="G32" i="14"/>
  <c r="G33" i="14"/>
  <c r="G34" i="14"/>
  <c r="G35" i="14"/>
  <c r="G37" i="14"/>
  <c r="G38" i="14"/>
  <c r="G41" i="14"/>
  <c r="G26" i="14"/>
  <c r="G27" i="14"/>
  <c r="G28" i="14"/>
  <c r="G29" i="14"/>
  <c r="G13" i="14"/>
  <c r="G14" i="14"/>
  <c r="D77" i="26" l="1"/>
  <c r="D193" i="26"/>
  <c r="D192" i="26" s="1"/>
  <c r="F173" i="26"/>
  <c r="E146" i="26"/>
  <c r="D146" i="26"/>
  <c r="D104" i="22"/>
  <c r="D145" i="26" l="1"/>
  <c r="G146" i="26"/>
  <c r="F169" i="26"/>
  <c r="G173" i="26"/>
  <c r="E145" i="26"/>
  <c r="D141" i="26" l="1"/>
  <c r="G169" i="26"/>
  <c r="E141" i="26"/>
  <c r="G145" i="26"/>
  <c r="D5" i="24"/>
  <c r="G181" i="26" l="1"/>
  <c r="G180" i="26"/>
  <c r="G179" i="26"/>
  <c r="G178" i="26"/>
  <c r="F175" i="26"/>
  <c r="F148" i="26" s="1"/>
  <c r="F143" i="26"/>
  <c r="F142" i="26"/>
  <c r="F141" i="26" s="1"/>
  <c r="D129" i="26"/>
  <c r="F125" i="26"/>
  <c r="F124" i="26" s="1"/>
  <c r="E118" i="26"/>
  <c r="D118" i="26"/>
  <c r="E114" i="26"/>
  <c r="E100" i="26" s="1"/>
  <c r="F92" i="26"/>
  <c r="G107" i="22"/>
  <c r="H106" i="22"/>
  <c r="G106" i="22"/>
  <c r="G100" i="22"/>
  <c r="E104" i="22"/>
  <c r="D79" i="22"/>
  <c r="E25" i="22"/>
  <c r="F18" i="22"/>
  <c r="H18" i="22" s="1"/>
  <c r="E10" i="22"/>
  <c r="E5" i="22" s="1"/>
  <c r="F91" i="26" l="1"/>
  <c r="G91" i="26" s="1"/>
  <c r="D100" i="26"/>
  <c r="H24" i="26"/>
  <c r="F100" i="26"/>
  <c r="F98" i="26" s="1"/>
  <c r="H114" i="26"/>
  <c r="G9" i="26"/>
  <c r="H9" i="26"/>
  <c r="E98" i="26"/>
  <c r="F5" i="22"/>
  <c r="E51" i="26"/>
  <c r="E8" i="26"/>
  <c r="H192" i="26"/>
  <c r="H104" i="22"/>
  <c r="G104" i="22"/>
  <c r="D98" i="26" l="1"/>
  <c r="E6" i="26"/>
  <c r="E5" i="26" s="1"/>
  <c r="H34" i="14"/>
  <c r="F5" i="26" l="1"/>
  <c r="E81" i="14"/>
  <c r="F50" i="14"/>
  <c r="F42" i="14"/>
  <c r="C89" i="14"/>
  <c r="C93" i="14" s="1"/>
  <c r="F5" i="24"/>
  <c r="H70" i="26"/>
  <c r="G70" i="26"/>
  <c r="G68" i="26"/>
  <c r="G67" i="26"/>
  <c r="G66" i="26"/>
  <c r="G65" i="26"/>
  <c r="H64" i="26"/>
  <c r="G64" i="26"/>
  <c r="H63" i="26"/>
  <c r="G63" i="26"/>
  <c r="G62" i="26"/>
  <c r="H61" i="26"/>
  <c r="G61" i="26"/>
  <c r="G161" i="26"/>
  <c r="G160" i="26"/>
  <c r="G158" i="26"/>
  <c r="G157" i="26"/>
  <c r="G156" i="26"/>
  <c r="G155" i="26"/>
  <c r="G154" i="26"/>
  <c r="G153" i="26"/>
  <c r="G152" i="26"/>
  <c r="G151" i="26"/>
  <c r="G150" i="26"/>
  <c r="G149" i="26"/>
  <c r="G148" i="26"/>
  <c r="G144" i="26"/>
  <c r="G143" i="26"/>
  <c r="G142" i="26"/>
  <c r="H141" i="26"/>
  <c r="G141" i="26"/>
  <c r="G140" i="26"/>
  <c r="H139" i="26"/>
  <c r="G139" i="26"/>
  <c r="H138" i="26"/>
  <c r="G138" i="26"/>
  <c r="G136" i="26"/>
  <c r="G135" i="26"/>
  <c r="G177" i="26"/>
  <c r="G176" i="26"/>
  <c r="G134" i="26"/>
  <c r="G132" i="26"/>
  <c r="G131" i="26"/>
  <c r="G130" i="26"/>
  <c r="H129" i="26"/>
  <c r="G129" i="26"/>
  <c r="G127" i="26"/>
  <c r="G126" i="26"/>
  <c r="G125" i="26"/>
  <c r="G124" i="26"/>
  <c r="H123" i="26"/>
  <c r="G123" i="26"/>
  <c r="H122" i="26"/>
  <c r="G122" i="26"/>
  <c r="H121" i="26"/>
  <c r="G121" i="26"/>
  <c r="H120" i="26"/>
  <c r="G120" i="26"/>
  <c r="H119" i="26"/>
  <c r="G119" i="26"/>
  <c r="H118" i="26"/>
  <c r="G118" i="26"/>
  <c r="G114" i="26"/>
  <c r="G109" i="26"/>
  <c r="G108" i="26"/>
  <c r="G107" i="26"/>
  <c r="G106" i="26"/>
  <c r="G102" i="26"/>
  <c r="H101" i="26"/>
  <c r="G101" i="26"/>
  <c r="H100" i="26"/>
  <c r="G100" i="26"/>
  <c r="G99" i="26"/>
  <c r="G97" i="26"/>
  <c r="G96" i="26"/>
  <c r="G98" i="26"/>
  <c r="H88" i="26"/>
  <c r="G88" i="26"/>
  <c r="H87" i="26"/>
  <c r="G87" i="26"/>
  <c r="G83" i="26"/>
  <c r="G82" i="26"/>
  <c r="G81" i="26"/>
  <c r="G78" i="26"/>
  <c r="H77" i="26"/>
  <c r="G77" i="26"/>
  <c r="G80" i="26"/>
  <c r="G93" i="26"/>
  <c r="G92" i="26"/>
  <c r="G76" i="26"/>
  <c r="H60" i="26"/>
  <c r="G60" i="26"/>
  <c r="H59" i="26"/>
  <c r="G59" i="26"/>
  <c r="G58" i="26"/>
  <c r="H58" i="26" s="1"/>
  <c r="G57" i="26"/>
  <c r="H57" i="26" s="1"/>
  <c r="G56" i="26"/>
  <c r="G53" i="26"/>
  <c r="H52" i="26"/>
  <c r="G52" i="26"/>
  <c r="H51" i="26"/>
  <c r="G51" i="26"/>
  <c r="G47" i="26"/>
  <c r="G46" i="26"/>
  <c r="G45" i="26"/>
  <c r="G44" i="26"/>
  <c r="G43" i="26"/>
  <c r="G42" i="26"/>
  <c r="G41" i="26"/>
  <c r="G40" i="26"/>
  <c r="G38" i="26"/>
  <c r="G37" i="26"/>
  <c r="G36" i="26"/>
  <c r="G35" i="26"/>
  <c r="G34" i="26"/>
  <c r="G33" i="26"/>
  <c r="G32" i="26"/>
  <c r="G31" i="26"/>
  <c r="G30" i="26"/>
  <c r="G29" i="26"/>
  <c r="G28" i="26"/>
  <c r="G27" i="26"/>
  <c r="G26" i="26"/>
  <c r="G25" i="26"/>
  <c r="G24" i="26"/>
  <c r="G21" i="26"/>
  <c r="H20" i="26"/>
  <c r="G20" i="26"/>
  <c r="G98" i="22"/>
  <c r="G97" i="22"/>
  <c r="H96" i="22"/>
  <c r="G96" i="22"/>
  <c r="H95" i="22"/>
  <c r="G95" i="22"/>
  <c r="H94" i="22"/>
  <c r="G94" i="22"/>
  <c r="H93" i="22"/>
  <c r="G93" i="22"/>
  <c r="G92" i="22"/>
  <c r="G91" i="22"/>
  <c r="G90" i="22"/>
  <c r="G89" i="22"/>
  <c r="H88" i="22"/>
  <c r="G88" i="22"/>
  <c r="H87" i="22"/>
  <c r="G87" i="22"/>
  <c r="H86" i="22"/>
  <c r="G86" i="22"/>
  <c r="H85" i="22"/>
  <c r="G85" i="22"/>
  <c r="H84" i="22"/>
  <c r="G84" i="22"/>
  <c r="H83" i="22"/>
  <c r="G83" i="22"/>
  <c r="H81" i="22"/>
  <c r="G81" i="22"/>
  <c r="H79" i="22"/>
  <c r="G79" i="22"/>
  <c r="G66" i="22"/>
  <c r="G62" i="22"/>
  <c r="G61" i="22"/>
  <c r="G60" i="22"/>
  <c r="G58" i="22"/>
  <c r="G57" i="22"/>
  <c r="G56" i="22"/>
  <c r="G55" i="22"/>
  <c r="G53" i="22"/>
  <c r="G52" i="22"/>
  <c r="G51" i="22"/>
  <c r="G49" i="22"/>
  <c r="G48" i="22"/>
  <c r="G47" i="22"/>
  <c r="G46" i="22"/>
  <c r="G44" i="22"/>
  <c r="G43" i="22"/>
  <c r="G42" i="22"/>
  <c r="G41" i="22"/>
  <c r="G40" i="22"/>
  <c r="G39" i="22"/>
  <c r="H38" i="22"/>
  <c r="G38" i="22"/>
  <c r="G37" i="22"/>
  <c r="G35" i="22"/>
  <c r="G34" i="22"/>
  <c r="G33" i="22"/>
  <c r="G32" i="22"/>
  <c r="G31" i="22"/>
  <c r="G30" i="22"/>
  <c r="G28" i="22"/>
  <c r="G27" i="22"/>
  <c r="G26" i="22"/>
  <c r="H25" i="22"/>
  <c r="G25" i="22"/>
  <c r="G5" i="26" l="1"/>
  <c r="H5" i="26"/>
  <c r="G94" i="14"/>
  <c r="H94" i="14"/>
  <c r="H96" i="14"/>
  <c r="G96" i="14"/>
  <c r="H81" i="14"/>
  <c r="G81" i="14"/>
  <c r="G95" i="14"/>
  <c r="H95" i="14"/>
  <c r="F43" i="14"/>
  <c r="G6" i="24"/>
  <c r="F6" i="24"/>
  <c r="G110" i="26"/>
  <c r="H98" i="26"/>
  <c r="G79" i="26"/>
  <c r="H79" i="26"/>
  <c r="G55" i="26"/>
  <c r="H55" i="26" s="1"/>
  <c r="G54" i="26"/>
  <c r="H21" i="22"/>
  <c r="G21" i="22"/>
  <c r="F40" i="14" l="1"/>
  <c r="G40" i="14" s="1"/>
  <c r="G39" i="14"/>
  <c r="G36" i="14"/>
  <c r="D70" i="14" l="1"/>
  <c r="D64" i="14"/>
  <c r="D57" i="14"/>
  <c r="D52" i="14"/>
  <c r="D50" i="14"/>
  <c r="D68" i="14" l="1"/>
  <c r="E25" i="14"/>
  <c r="H25" i="14" s="1"/>
  <c r="E42" i="14"/>
  <c r="E16" i="14"/>
  <c r="H16" i="14" s="1"/>
  <c r="E9" i="14"/>
  <c r="G8" i="14"/>
  <c r="H8" i="14"/>
  <c r="C9" i="14"/>
  <c r="C15" i="14" s="1"/>
  <c r="G10" i="14"/>
  <c r="H10" i="14"/>
  <c r="G11" i="14"/>
  <c r="H11" i="14"/>
  <c r="G12" i="14"/>
  <c r="H12" i="14"/>
  <c r="C16" i="14"/>
  <c r="G17" i="14"/>
  <c r="H17" i="14"/>
  <c r="G18" i="14"/>
  <c r="H18" i="14"/>
  <c r="G19" i="14"/>
  <c r="H19" i="14"/>
  <c r="G20" i="14"/>
  <c r="G21" i="14"/>
  <c r="H21" i="14"/>
  <c r="C42" i="14"/>
  <c r="G23" i="14"/>
  <c r="G24" i="14"/>
  <c r="H24" i="14"/>
  <c r="C25" i="14"/>
  <c r="G30" i="14"/>
  <c r="H30" i="14"/>
  <c r="H75" i="26"/>
  <c r="G75" i="26"/>
  <c r="H73" i="26"/>
  <c r="G73" i="26"/>
  <c r="H72" i="26"/>
  <c r="G72" i="26"/>
  <c r="C31" i="14" l="1"/>
  <c r="C36" i="14" s="1"/>
  <c r="C39" i="14" s="1"/>
  <c r="C43" i="14"/>
  <c r="C40" i="14" s="1"/>
  <c r="E43" i="14"/>
  <c r="G25" i="14"/>
  <c r="G16" i="14"/>
  <c r="H9" i="14"/>
  <c r="E15" i="14"/>
  <c r="H15" i="14" s="1"/>
  <c r="G9" i="14"/>
  <c r="H42" i="14"/>
  <c r="G42" i="14"/>
  <c r="G22" i="14"/>
  <c r="H22" i="14"/>
  <c r="E31" i="14" l="1"/>
  <c r="H31" i="14" s="1"/>
  <c r="G15" i="14"/>
  <c r="H43" i="14"/>
  <c r="G43" i="14"/>
  <c r="G31" i="14" l="1"/>
  <c r="G16" i="22" l="1"/>
  <c r="H71" i="26" l="1"/>
  <c r="G71" i="26"/>
  <c r="H8" i="26"/>
  <c r="G8" i="26"/>
  <c r="G6" i="26"/>
  <c r="G63" i="22"/>
  <c r="H20" i="22"/>
  <c r="G20" i="22"/>
  <c r="G18" i="22"/>
  <c r="G17" i="22"/>
  <c r="H15" i="22"/>
  <c r="G15" i="22"/>
  <c r="H14" i="22"/>
  <c r="G14" i="22"/>
  <c r="G13" i="22"/>
  <c r="H12" i="22"/>
  <c r="G12" i="22"/>
  <c r="G11" i="22"/>
  <c r="H10" i="22"/>
  <c r="G10" i="22"/>
  <c r="H6" i="22"/>
  <c r="G6" i="22"/>
  <c r="H5" i="22"/>
  <c r="G5" i="22"/>
  <c r="G64" i="22" l="1"/>
  <c r="G19" i="22"/>
  <c r="H6" i="26"/>
  <c r="G8" i="22"/>
  <c r="G175" i="26" l="1"/>
  <c r="E50" i="14" l="1"/>
  <c r="C50" i="14"/>
  <c r="H49" i="14"/>
  <c r="G49" i="14"/>
  <c r="H48" i="14"/>
  <c r="G48" i="14"/>
  <c r="H47" i="14"/>
  <c r="G47" i="14"/>
  <c r="H46" i="14"/>
  <c r="G46" i="14"/>
  <c r="H45" i="14"/>
  <c r="G45" i="14"/>
  <c r="C85" i="14"/>
  <c r="E85" i="14"/>
  <c r="G85" i="14" l="1"/>
  <c r="H85" i="14"/>
  <c r="H50" i="14"/>
  <c r="G50" i="14"/>
  <c r="E89" i="14" l="1"/>
  <c r="E93" i="14" s="1"/>
  <c r="H89" i="14" l="1"/>
  <c r="G89" i="14"/>
  <c r="G5" i="24"/>
  <c r="H93" i="14" l="1"/>
  <c r="G93" i="14"/>
  <c r="H72" i="14"/>
  <c r="H59" i="14"/>
  <c r="H66" i="14"/>
  <c r="H67" i="14"/>
  <c r="C70" i="14" l="1"/>
  <c r="E70" i="14"/>
  <c r="F70" i="14"/>
  <c r="G70" i="14" l="1"/>
  <c r="H70" i="14"/>
  <c r="C52" i="14"/>
  <c r="E64" i="14"/>
  <c r="F64" i="14"/>
  <c r="C64" i="14"/>
  <c r="E57" i="14"/>
  <c r="F57" i="14"/>
  <c r="C57" i="14"/>
  <c r="E52" i="14"/>
  <c r="G64" i="14" l="1"/>
  <c r="G57" i="14"/>
  <c r="H64" i="14"/>
  <c r="H57" i="14"/>
  <c r="C68" i="14"/>
  <c r="E68" i="14"/>
  <c r="H55" i="14" l="1"/>
  <c r="F52" i="14"/>
  <c r="H52" i="14" l="1"/>
  <c r="G52" i="14"/>
  <c r="F68" i="14"/>
  <c r="G68" i="14" s="1"/>
  <c r="H68" i="14" l="1"/>
  <c r="D8" i="26"/>
  <c r="D6" i="26" s="1"/>
  <c r="D5" i="26" s="1"/>
</calcChain>
</file>

<file path=xl/sharedStrings.xml><?xml version="1.0" encoding="utf-8"?>
<sst xmlns="http://schemas.openxmlformats.org/spreadsheetml/2006/main" count="637" uniqueCount="379">
  <si>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</si>
  <si>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</si>
  <si>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</si>
  <si>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</si>
  <si>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 xml:space="preserve">Код рядка </t>
  </si>
  <si>
    <t>Інші операційні витрати</t>
  </si>
  <si>
    <t>№ з/п</t>
  </si>
  <si>
    <t>Усього</t>
  </si>
  <si>
    <t>(посада)</t>
  </si>
  <si>
    <t>(підпис)</t>
  </si>
  <si>
    <t>Інші операційні витрати, усього, у тому числі:</t>
  </si>
  <si>
    <t>податок на доходи фізичних осіб</t>
  </si>
  <si>
    <t>Фінансовий результат до оподаткування</t>
  </si>
  <si>
    <t xml:space="preserve">         (ініціали, прізвище)    </t>
  </si>
  <si>
    <t>(ініціали, прізвище)</t>
  </si>
  <si>
    <t>Основні фінансові показники</t>
  </si>
  <si>
    <t>Капітальні інвестиції</t>
  </si>
  <si>
    <t>Найменування об’єкта</t>
  </si>
  <si>
    <t>директор</t>
  </si>
  <si>
    <t>працівники</t>
  </si>
  <si>
    <t>Найменування показника</t>
  </si>
  <si>
    <t>адміністративно-управлінський персонал</t>
  </si>
  <si>
    <t>Валовий прибуток/збиток</t>
  </si>
  <si>
    <t>Інші доходи, усього, у тому числі:</t>
  </si>
  <si>
    <t>Витрати з податку на прибуток</t>
  </si>
  <si>
    <t>Дохід з податку на прибуток</t>
  </si>
  <si>
    <t>8000</t>
  </si>
  <si>
    <t>8001</t>
  </si>
  <si>
    <t>8002</t>
  </si>
  <si>
    <t>8003</t>
  </si>
  <si>
    <t>8010</t>
  </si>
  <si>
    <t>Інші операційні доходи, усього, у тому числі:</t>
  </si>
  <si>
    <t>нетипові операційні доходи (розшифрувати)</t>
  </si>
  <si>
    <t>інші операційні доходи (розшифрувати)</t>
  </si>
  <si>
    <t>податок на прибуток підприємств</t>
  </si>
  <si>
    <t>інші податки та збори (розшифрувати)</t>
  </si>
  <si>
    <t>митні платежі</t>
  </si>
  <si>
    <t xml:space="preserve">єдиний внесок на загальнообов'язкове державне соціальне страхування                      </t>
  </si>
  <si>
    <t>земельний податок</t>
  </si>
  <si>
    <t>орендна плата</t>
  </si>
  <si>
    <t>Чистий фінансовий результат</t>
  </si>
  <si>
    <t xml:space="preserve">Прибуток </t>
  </si>
  <si>
    <t>Збиток</t>
  </si>
  <si>
    <t>Середньомісячні витрати на оплату праці одного працівника (грн), усього, у тому числі:</t>
  </si>
  <si>
    <t>Інші витрати (розшифрувати)</t>
  </si>
  <si>
    <t>тис. грн (без ПДВ)</t>
  </si>
  <si>
    <t>{Додаток 1 в редакції Наказу Міністерства економічного розвитку і торгівлі № 1394 від 03.11.2015}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</si>
  <si>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</si>
  <si>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</si>
  <si>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Усього нараховано виплат</t>
  </si>
  <si>
    <t>Матеріальні витрати</t>
  </si>
  <si>
    <t>(тис. грн)</t>
  </si>
  <si>
    <t>Нараховані до сплати податки та збори до місцевих бюджетів (податкові платежі)</t>
  </si>
  <si>
    <t>Нараховані до сплати інші податки, збори та платежі</t>
  </si>
  <si>
    <t xml:space="preserve"> (посада)</t>
  </si>
  <si>
    <t>військовий збір</t>
  </si>
  <si>
    <t>капітальне будівництво (розшифрувати)</t>
  </si>
  <si>
    <t>модернізація, модифікація (добудова, дообладнання, реконструкція) основних засобів (розшифрувати)</t>
  </si>
  <si>
    <t>капітальний ремонт (розшифрувати)</t>
  </si>
  <si>
    <t>тис. грн</t>
  </si>
  <si>
    <t>Собівартість реалізованої продукції (товарів, робіт, послуг), усього, у тому числі:</t>
  </si>
  <si>
    <t>Матеріальні витрати (розшифрувати)</t>
  </si>
  <si>
    <t>Інші адміністративні витрати (розшифрувати)</t>
  </si>
  <si>
    <t>Інші операційні витрати (розшифрувати)</t>
  </si>
  <si>
    <t>придбання (виготовлення) інших необоротних матеріальних активів (розшифрувати)</t>
  </si>
  <si>
    <t>Фонд оплату праці</t>
  </si>
  <si>
    <t>8030</t>
  </si>
  <si>
    <t>Чистий дохід від реалізації продукції (товарів, робіт, послуг), усього, у тому числі:</t>
  </si>
  <si>
    <t>ДОХОДИ</t>
  </si>
  <si>
    <t>ВИТРАТИ</t>
  </si>
  <si>
    <t>ВСЬОГО ВИТРАТ:</t>
  </si>
  <si>
    <t>1.</t>
  </si>
  <si>
    <t>у т.ч. використано на:</t>
  </si>
  <si>
    <t>1.1</t>
  </si>
  <si>
    <t>1.2</t>
  </si>
  <si>
    <t>Адміністративні витрати, усього, у тому числі:</t>
  </si>
  <si>
    <t>Собівартість реалізованої продукції (товарів, робіт, послуг), усього, у т.ч.:</t>
  </si>
  <si>
    <t>Адміністративні витрати, усього, у т.ч.:</t>
  </si>
  <si>
    <t>2.</t>
  </si>
  <si>
    <t>Придбання (виготовлення) основних засобів, усього, у т.ч.:</t>
  </si>
  <si>
    <t>Капітальний ремонт, усього, у т.ч.:</t>
  </si>
  <si>
    <t>Інші витрати, усього, у т.ч.:</t>
  </si>
  <si>
    <t>Розділ І. Формування фінансових результатів</t>
  </si>
  <si>
    <t>Розділ IІ. Розрахунки з бюджетом</t>
  </si>
  <si>
    <t>Розділ IV. Капітальні інвестиції</t>
  </si>
  <si>
    <t>Розділ VI. Дані про персонал та витрати на оплату праці</t>
  </si>
  <si>
    <t>Розшифровка №1 до розділу І "Формування фінансових результатів"</t>
  </si>
  <si>
    <t>Розшифровка до розділу  IV. "Капітальні інвестиції"</t>
  </si>
  <si>
    <t>4.</t>
  </si>
  <si>
    <t>5.</t>
  </si>
  <si>
    <t>6.1</t>
  </si>
  <si>
    <t>Матеріальні витрати, усього, у т.ч.:</t>
  </si>
  <si>
    <t>5.1</t>
  </si>
  <si>
    <t>факт</t>
  </si>
  <si>
    <t>відхилення, +/-</t>
  </si>
  <si>
    <t>виконання, 
%</t>
  </si>
  <si>
    <t>відхилення, %</t>
  </si>
  <si>
    <t>Відхилення, +,-</t>
  </si>
  <si>
    <t>Відхилення, %</t>
  </si>
  <si>
    <t>Усього доходів</t>
  </si>
  <si>
    <t>Усього видатків</t>
  </si>
  <si>
    <t>відрахування частини чистого прибутку комунальними підприємствами, що є власністю Вінницької міської об'єднаної територіальної громади до бюджету Вінницької міської ОТГ</t>
  </si>
  <si>
    <t>Розшифровка №2 до розділу І "Формування фінансових результатів за джерелами доходів та використання коштів"</t>
  </si>
  <si>
    <t>Кошти державного бюджету від Національної служби здоров'я України</t>
  </si>
  <si>
    <t>Факт наростаючим підсумком з початку року</t>
  </si>
  <si>
    <t>Елементи операційних витрат:</t>
  </si>
  <si>
    <t>Залучення кредитних коштів</t>
  </si>
  <si>
    <t>Власні кошти</t>
  </si>
  <si>
    <t>Усього:</t>
  </si>
  <si>
    <t>кошти державного бюджету від Національної служби здоров'я України</t>
  </si>
  <si>
    <t>кошти медичної субвенції з державного бюджету</t>
  </si>
  <si>
    <t>6.</t>
  </si>
  <si>
    <t>7.</t>
  </si>
  <si>
    <t>Благодійні внески</t>
  </si>
  <si>
    <t xml:space="preserve">нарахування амортизації на безоплатно отримані активи </t>
  </si>
  <si>
    <t>медикаменти та перев'язувальні матеріали</t>
  </si>
  <si>
    <t xml:space="preserve">бланки медичні та бухгалтерські </t>
  </si>
  <si>
    <t>канцелярські товари</t>
  </si>
  <si>
    <t>передплата періодичних видань</t>
  </si>
  <si>
    <t>технічний інвентар</t>
  </si>
  <si>
    <t>страхування водіїв, автотранспорту, на випадок СНіДу, членів добровільних пожежних дружин, на випадок гепатиту</t>
  </si>
  <si>
    <t>витрати на зв'язок</t>
  </si>
  <si>
    <t>послуги архіву</t>
  </si>
  <si>
    <t>послуги охорони</t>
  </si>
  <si>
    <t>обслуговування медичного обладнання</t>
  </si>
  <si>
    <t>метрологічна повірка медичного обладнання</t>
  </si>
  <si>
    <t>обслуговування ліфту</t>
  </si>
  <si>
    <t>дератизація, дезинфекція</t>
  </si>
  <si>
    <t>сигналізація</t>
  </si>
  <si>
    <t>заходи по радіаційній безпеці</t>
  </si>
  <si>
    <t>обрізка дерев</t>
  </si>
  <si>
    <t>оплата теплопостачання</t>
  </si>
  <si>
    <t xml:space="preserve">оплата водопостачання та водовідведення </t>
  </si>
  <si>
    <t>оплата електроенергії</t>
  </si>
  <si>
    <t>оплата інших енергоносіїв</t>
  </si>
  <si>
    <t>витрати на відрядження</t>
  </si>
  <si>
    <t>навчання у сфері цивільного захисту та охорони праці</t>
  </si>
  <si>
    <t>вилучення дорогоцінних металів</t>
  </si>
  <si>
    <t>обстеження ургентних хворих (КТ)</t>
  </si>
  <si>
    <t>відшкодування пільгових пенсій</t>
  </si>
  <si>
    <t xml:space="preserve">продукти харчування </t>
  </si>
  <si>
    <t>Директор КНП "ВМКЛ ШМД"</t>
  </si>
  <si>
    <t>О.О. Фомін</t>
  </si>
  <si>
    <t xml:space="preserve">оплата природнього газу  </t>
  </si>
  <si>
    <t>лікарняні листи перші 5 днів</t>
  </si>
  <si>
    <t>Кошти отримані від реалізації майна</t>
  </si>
  <si>
    <t>8.</t>
  </si>
  <si>
    <t>9.</t>
  </si>
  <si>
    <t>10.</t>
  </si>
  <si>
    <t>________________</t>
  </si>
  <si>
    <t>Розшифровка до розділу  IV. "Капітальні інвестиції за джерелами надходження"</t>
  </si>
  <si>
    <t>папір</t>
  </si>
  <si>
    <t>миючі засоби</t>
  </si>
  <si>
    <t>будівельні матеріали</t>
  </si>
  <si>
    <t>господарські товари, енергозберігаючі лампочки</t>
  </si>
  <si>
    <t>м'який інвентар</t>
  </si>
  <si>
    <t>ремонт медичного обладнання та поточний ремонт приміщень</t>
  </si>
  <si>
    <t>ТО диз.генератора, газового обладн., аварійного освітлення, перев.і випробування пожеж.гідрантів, ел.вимірювання</t>
  </si>
  <si>
    <t>оренда рентгенустановки</t>
  </si>
  <si>
    <t>Інші адміністративні витрати, в т.ч.:</t>
  </si>
  <si>
    <t>перезарядка картриджів</t>
  </si>
  <si>
    <t>ТО ПК, оргтехніки</t>
  </si>
  <si>
    <t>банківське обслуговування, обслуговування особового рахунку</t>
  </si>
  <si>
    <t>Інші адміністративні витрати, усього, у т.ч.:</t>
  </si>
  <si>
    <t>Собівартість реалізованої продукції (товарів, робіт, послуг):</t>
  </si>
  <si>
    <t>придбання (виготовлення) основних засобів, усього, у т.ч.:</t>
  </si>
  <si>
    <t>капітальний ремонт, усього, у тому числі:</t>
  </si>
  <si>
    <t>капітальний ремонт (системи аварійного освітлення)</t>
  </si>
  <si>
    <t>капітальний ремонт частини приміщень в рамках проекту EMERGENCY-2020</t>
  </si>
  <si>
    <t>план</t>
  </si>
  <si>
    <t xml:space="preserve">кошти медичної субвенції з обласного бюджету </t>
  </si>
  <si>
    <t>кошти отримані від реалізації майна</t>
  </si>
  <si>
    <t>благодійні внески</t>
  </si>
  <si>
    <t>надходження від відсотків за залишками коштів на поточних рахунках</t>
  </si>
  <si>
    <t>Інші фінансові доходи, усього, у тому числі:</t>
  </si>
  <si>
    <t>надходження від відсотків за залишками коштів на депозитних рахунках</t>
  </si>
  <si>
    <t>2.1</t>
  </si>
  <si>
    <t>інформаційно-консультативні послуги</t>
  </si>
  <si>
    <t>гістологічне дослідження (патанатомія)</t>
  </si>
  <si>
    <t>післядипломна перепідготовка кадрів</t>
  </si>
  <si>
    <t>ремонт обладнання, поточні ремонти та ін.</t>
  </si>
  <si>
    <t>1.1.1</t>
  </si>
  <si>
    <t>1.1.2</t>
  </si>
  <si>
    <t>1.1.3</t>
  </si>
  <si>
    <t>1.2.1</t>
  </si>
  <si>
    <t>1.2.2</t>
  </si>
  <si>
    <t>1.2.3</t>
  </si>
  <si>
    <t>1.3</t>
  </si>
  <si>
    <t>2.1.2</t>
  </si>
  <si>
    <t>2.1.3</t>
  </si>
  <si>
    <t>4.1</t>
  </si>
  <si>
    <t>4.1.1</t>
  </si>
  <si>
    <t>Кошти орендарів (відшкодування за енергоносії)</t>
  </si>
  <si>
    <t>9.1</t>
  </si>
  <si>
    <t>9.2</t>
  </si>
  <si>
    <t>супровід програмного забезпечення</t>
  </si>
  <si>
    <t>навчання у сфері цивільного захисту, охорони праці</t>
  </si>
  <si>
    <t>Інші операційні витрати, усього, у т.ч.:</t>
  </si>
  <si>
    <t>господарські товари,енергозберігаючі лампочки, технічний інвентар</t>
  </si>
  <si>
    <t>обстеження мед.працівників</t>
  </si>
  <si>
    <t>Залишок матеріалів, придбаних у минулих періодах за рахунок коштів медичної субвенції з державного бюджету</t>
  </si>
  <si>
    <t>5.1.1</t>
  </si>
  <si>
    <t>Залишок матеріалів, придбаних у минулих періодах за рахунок коштів ВМОТГ</t>
  </si>
  <si>
    <t>6.1.1</t>
  </si>
  <si>
    <t>7.1</t>
  </si>
  <si>
    <t>7.1.1</t>
  </si>
  <si>
    <t>7.2</t>
  </si>
  <si>
    <t>8.1</t>
  </si>
  <si>
    <t>8.1.1</t>
  </si>
  <si>
    <t>8.2</t>
  </si>
  <si>
    <t>8.2.1</t>
  </si>
  <si>
    <t>Інші витрати:</t>
  </si>
  <si>
    <t>Інші адміністративні витрати, усього, в т.ч.:</t>
  </si>
  <si>
    <t>післядипломна перепідготовка кадрів, навчання</t>
  </si>
  <si>
    <t>предмети, матеріали, обладнання та інвентар</t>
  </si>
  <si>
    <t>Надходження від відсотків за залишками коштів на депозитних рахунках</t>
  </si>
  <si>
    <t>демонтаж мед.обладн., виготовл.енергетичного сертифікату, перевезення працівників, ремонт ШВЛ</t>
  </si>
  <si>
    <t>відхилення, (+/-)</t>
  </si>
  <si>
    <t>відхилення, 
(%)</t>
  </si>
  <si>
    <r>
      <t xml:space="preserve">Кошти від власних надходжень </t>
    </r>
    <r>
      <rPr>
        <i/>
        <sz val="14"/>
        <rFont val="Times New Roman"/>
        <family val="1"/>
        <charset val="204"/>
      </rPr>
      <t>(стажування лікарів-інтернів та медичне обслуговування іноземних громадян)</t>
    </r>
  </si>
  <si>
    <r>
      <t xml:space="preserve">витрати, пов'язані з використанням автомобілів </t>
    </r>
    <r>
      <rPr>
        <i/>
        <sz val="14"/>
        <rFont val="Times New Roman"/>
        <family val="1"/>
        <charset val="204"/>
      </rPr>
      <t>(бензин, дизельне паливо)</t>
    </r>
  </si>
  <si>
    <t>витрати, пов'язані з використанням автомобілів (ТО, ремонт)</t>
  </si>
  <si>
    <t>страхування водіїв, автотранспорту, на випадок СНіДу, членів ДПД</t>
  </si>
  <si>
    <t>охоронні послуги</t>
  </si>
  <si>
    <t>метрологічна повірка медичного обладнання, повірка лічильників</t>
  </si>
  <si>
    <t>інформ.-консультативні послуги</t>
  </si>
  <si>
    <t>предмети, матеріали, обладнання, інвентар, господарські товари (принтери, меблі, сервер)</t>
  </si>
  <si>
    <t>господарські товари, енергозберігаючі лампочки, картриджі, миючі засоби</t>
  </si>
  <si>
    <r>
      <t xml:space="preserve">витрати, пов'язані з використанням автомобілів </t>
    </r>
    <r>
      <rPr>
        <i/>
        <sz val="14"/>
        <rFont val="Times New Roman"/>
        <family val="1"/>
        <charset val="204"/>
      </rPr>
      <t>(технічне обслуговування та ремонт)</t>
    </r>
  </si>
  <si>
    <t>9.1.1</t>
  </si>
  <si>
    <t>бланки</t>
  </si>
  <si>
    <t>канцтовари</t>
  </si>
  <si>
    <t>Інші адміністративні витрати,усього, в т.ч.:</t>
  </si>
  <si>
    <t>Інші операційні витрати, усього, в т.ч.:</t>
  </si>
  <si>
    <t>кошти бюджету Вінницької міської об'єднаної територіальної громади/ кошти Вінницької міської територіальної громади</t>
  </si>
  <si>
    <t>Інші витрати, усього, в т.ч.:</t>
  </si>
  <si>
    <r>
      <t xml:space="preserve">кошти від власних надходжень </t>
    </r>
    <r>
      <rPr>
        <i/>
        <sz val="14"/>
        <rFont val="Times New Roman"/>
        <family val="1"/>
        <charset val="204"/>
      </rPr>
      <t>(стажування лікарів-інтернів та медичне обслуговування іноземних громадян)</t>
    </r>
  </si>
  <si>
    <r>
      <t>кошти орендарів</t>
    </r>
    <r>
      <rPr>
        <i/>
        <sz val="14"/>
        <rFont val="Times New Roman"/>
        <family val="1"/>
        <charset val="204"/>
      </rPr>
      <t xml:space="preserve"> (відшкодування за енергоносії)</t>
    </r>
  </si>
  <si>
    <t>1.3.2</t>
  </si>
  <si>
    <t>1.3.3</t>
  </si>
  <si>
    <t xml:space="preserve">Відрахування на соціальні заходи </t>
  </si>
  <si>
    <t>Матеріальні витрати, усього, в т.ч.:</t>
  </si>
  <si>
    <t>Кошти медичної субвенції з обласного бюджету</t>
  </si>
  <si>
    <t>Нарахування амортизації на безоплатно отримані активи</t>
  </si>
  <si>
    <t>9.2.1</t>
  </si>
  <si>
    <t>інші податки, збори та платежі (профспілкові внески)</t>
  </si>
  <si>
    <t>2.1.1</t>
  </si>
  <si>
    <t>Бюджетне фінансування (кошти ВМТГ)</t>
  </si>
  <si>
    <t>Інші джерела (кошти НСЗУ)</t>
  </si>
  <si>
    <t xml:space="preserve">Нараховані до сплати податки та збори до Державного бюджету України (податкові платежі) </t>
  </si>
  <si>
    <t xml:space="preserve">обслуговування медичного обладнання </t>
  </si>
  <si>
    <t>витрати на відрядження (проїзний - поповнення безконтактної неперсоніфікованої смарт - карти на проїзд)</t>
  </si>
  <si>
    <t>оплата послуг по проектуванню, монтажу системи блискавкозахисту</t>
  </si>
  <si>
    <t>коагулометр портативний з Док-станцією</t>
  </si>
  <si>
    <t>шприцевий насос інфузійний SEP-21 S Plus 1 комплект</t>
  </si>
  <si>
    <t>відшкодування по нещасним випадкам на виробництві і за скоєння злочину</t>
  </si>
  <si>
    <t>набір хірургічний для операційних блоків № 2, 5 компл.</t>
  </si>
  <si>
    <t>утилізація ламп, мед.відходів</t>
  </si>
  <si>
    <t>оренда майна</t>
  </si>
  <si>
    <t>господарські товари, запчастини</t>
  </si>
  <si>
    <t>Амортизація основних засобів</t>
  </si>
  <si>
    <t>апарат рентгенівський пересувний MOBILE COOPER</t>
  </si>
  <si>
    <t>станція ручної мийки з ультразвуковою системою очистки</t>
  </si>
  <si>
    <t>монітор пацієнта (4 шт.) (система моніторингу фізіологічних показників Star8000F)</t>
  </si>
  <si>
    <t xml:space="preserve">сервер </t>
  </si>
  <si>
    <t>Капітальні інвестиції, усього, у тому числі:</t>
  </si>
  <si>
    <t>оприбуткування активів від ліквідації</t>
  </si>
  <si>
    <t>Директор КНП "ВМКЛШМД"</t>
  </si>
  <si>
    <t>заходи підтримки громадського здоров'я</t>
  </si>
  <si>
    <t>набір хірургічний для операційних блоків № 2, 5 компл., негатоскоп, мед.обладнання</t>
  </si>
  <si>
    <t>предмети, матеріали, обладнання, інвентар (принтери, меблі, сервер)</t>
  </si>
  <si>
    <t>інформатизація</t>
  </si>
  <si>
    <t>предмети, матеріали, обладнання, інвентар</t>
  </si>
  <si>
    <t>Кошти  бюджету Вінницької міської обєднаної територіальної громади(ВМОТГ) /бюджету Вінницької міської територіальної громади (ВМТГ)</t>
  </si>
  <si>
    <t xml:space="preserve">               (підпис)</t>
  </si>
  <si>
    <t>атестація робочих місць</t>
  </si>
  <si>
    <t>роботи з оцінки техн.стану, виготовл. тех.паспорту на будівлю лікарні, виг.проект-кошт.док. мережі ел.постач.</t>
  </si>
  <si>
    <t>1.1.4</t>
  </si>
  <si>
    <r>
      <t xml:space="preserve">Чистий дохід від реалізації продукції (товарів, робіт, послуг) </t>
    </r>
    <r>
      <rPr>
        <sz val="16"/>
        <rFont val="Times New Roman"/>
        <family val="1"/>
        <charset val="204"/>
      </rPr>
      <t>(розшифрувати)</t>
    </r>
  </si>
  <si>
    <r>
      <t>Інші фінансові доходи</t>
    </r>
    <r>
      <rPr>
        <sz val="16"/>
        <rFont val="Times New Roman"/>
        <family val="1"/>
        <charset val="204"/>
      </rPr>
      <t xml:space="preserve"> (розшифрувати)</t>
    </r>
  </si>
  <si>
    <r>
      <rPr>
        <b/>
        <sz val="16"/>
        <rFont val="Times New Roman"/>
        <family val="1"/>
        <charset val="204"/>
      </rPr>
      <t>Фінансові витрати</t>
    </r>
    <r>
      <rPr>
        <sz val="16"/>
        <rFont val="Times New Roman"/>
        <family val="1"/>
        <charset val="204"/>
      </rPr>
      <t xml:space="preserve"> (розшифрувати)</t>
    </r>
  </si>
  <si>
    <r>
      <t>Інші доходи</t>
    </r>
    <r>
      <rPr>
        <sz val="16"/>
        <rFont val="Times New Roman"/>
        <family val="1"/>
        <charset val="204"/>
      </rPr>
      <t xml:space="preserve"> (розшифрувати)</t>
    </r>
  </si>
  <si>
    <r>
      <t xml:space="preserve">Інші витрати </t>
    </r>
    <r>
      <rPr>
        <sz val="16"/>
        <rFont val="Times New Roman"/>
        <family val="1"/>
        <charset val="204"/>
      </rPr>
      <t>(розшифрувати)</t>
    </r>
  </si>
  <si>
    <r>
      <t>придбання (виготовлення) основних засобів (розшифрувати)</t>
    </r>
    <r>
      <rPr>
        <i/>
        <sz val="16"/>
        <rFont val="Times New Roman"/>
        <family val="1"/>
        <charset val="204"/>
      </rPr>
      <t xml:space="preserve"> </t>
    </r>
  </si>
  <si>
    <r>
      <t>придбання (створення) нематеріальних активів (розшифрувати)</t>
    </r>
    <r>
      <rPr>
        <i/>
        <sz val="16"/>
        <rFont val="Times New Roman"/>
        <family val="1"/>
        <charset val="204"/>
      </rPr>
      <t xml:space="preserve"> </t>
    </r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</si>
  <si>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rFont val="Times New Roman"/>
        <family val="1"/>
        <charset val="204"/>
      </rPr>
      <t>, у тому числі:</t>
    </r>
  </si>
  <si>
    <t>паливно-мастильні матеріали</t>
  </si>
  <si>
    <t>роботи з оцінки техн.стану, виготовл.тех.паспорту на будівлю лікарні, виг.проект-кошт.док. мережі ел.постач.</t>
  </si>
  <si>
    <t>3.</t>
  </si>
  <si>
    <t>3.1</t>
  </si>
  <si>
    <t>3.1.1</t>
  </si>
  <si>
    <t>4.1.2</t>
  </si>
  <si>
    <t>4.1.3</t>
  </si>
  <si>
    <t>4.1.4</t>
  </si>
  <si>
    <t>4.2</t>
  </si>
  <si>
    <t>4.2.1</t>
  </si>
  <si>
    <t>6.2</t>
  </si>
  <si>
    <t>6.2.1</t>
  </si>
  <si>
    <t>7.2.1</t>
  </si>
  <si>
    <t>8.1.2</t>
  </si>
  <si>
    <t>8.3.1</t>
  </si>
  <si>
    <t>10.1.2</t>
  </si>
  <si>
    <t>11.</t>
  </si>
  <si>
    <t>11.1</t>
  </si>
  <si>
    <t>11.2</t>
  </si>
  <si>
    <t>предмети, матеріали, обладнання, інвентар (носилки, кліщі)</t>
  </si>
  <si>
    <t>1.2.4</t>
  </si>
  <si>
    <t>1.3.1</t>
  </si>
  <si>
    <t>9.1.2</t>
  </si>
  <si>
    <t>в дохід бюджету зарплата минулих періодів</t>
  </si>
  <si>
    <t>2.1.4</t>
  </si>
  <si>
    <t>8.3</t>
  </si>
  <si>
    <t>10.1</t>
  </si>
  <si>
    <t>10.1.1</t>
  </si>
  <si>
    <t>оплата за отримання ліцензії, держ.реєстрація статуту</t>
  </si>
  <si>
    <t>предмети, матеріали, обладнання, інвентар (принтери, меблі, сервер, акумул.батарея, картриджі, носилки, кліщі)</t>
  </si>
  <si>
    <t>оплата послуг (крім комунальних): ремонт обладнання, поточні рем.та ін.; страхування автоцивілки, послуги банку</t>
  </si>
  <si>
    <t>господарські товари, енергозберігаючі лампочки, картриджі, запчастини</t>
  </si>
  <si>
    <t>-</t>
  </si>
  <si>
    <t>за повідомлення про погодж.тарифу на проходження стажування лік.-інтернів ("Вінницька газета")</t>
  </si>
  <si>
    <t>Факт І півріччя 2021 року</t>
  </si>
  <si>
    <t>План І півріччя 2022 року</t>
  </si>
  <si>
    <t>Факт І півріччя  2022 року</t>
  </si>
  <si>
    <t>Факт І півріччя 2022 року</t>
  </si>
  <si>
    <t>І півріччя 2021 року</t>
  </si>
  <si>
    <t>І півріччял 2022 року</t>
  </si>
  <si>
    <t>План                      І півріччя 2022 року</t>
  </si>
  <si>
    <t>Факт                             І півріччя 2022 року</t>
  </si>
  <si>
    <t>І півріччя 2022 року</t>
  </si>
  <si>
    <t>Звітний період І півріччя 2022 року</t>
  </si>
  <si>
    <t xml:space="preserve">ЗВІТ
 про виконання показників фінансового плану Комунального некомерційного підприємства "Вінницька міська клінічна лікарня швидкої медичної допомоги"
за І півріччя 2022 року   </t>
  </si>
  <si>
    <t>Амортизація інших необоротних активів</t>
  </si>
  <si>
    <t xml:space="preserve">предмети, матеріали, господарські товари, енергозберігаючі лампочки, картриджі, миючі засоби, захисні накладки  на вікна для каб. КТ, монітор </t>
  </si>
  <si>
    <t>ремонт медичного та іншого обладнання</t>
  </si>
  <si>
    <t>ТО диз.генератора, газового обладн., аварійного освітлення, перев.і випробування пожеж.гідрантів, ел.вимірювання, тех.нагляд за об'єктами, промивка та випробув. сист.опалення, перев.дозоформ.параметри, енергомоніторинг</t>
  </si>
  <si>
    <t>оплата послуг (крім комунальних): устан.відеодомофону, тепл.завіси, заміна приймача шлагбаума, транспорт.-експедитор. послуги</t>
  </si>
  <si>
    <t>комісія банку, послуги митного брокера</t>
  </si>
  <si>
    <t>корегування проект.-коштор.документації по об'єкту "Капіт.ремонт приміщень лікарні"</t>
  </si>
  <si>
    <t>господарські товари, енергозберігаючі лампочки, миючі засоби</t>
  </si>
  <si>
    <t>предмети, матеріали, обладнання, інвентар (принтери, меблі, сервер, акумул.батарея, картриджі, запчастини)</t>
  </si>
  <si>
    <t>система рентгенівська діагн.мобільна МАС D</t>
  </si>
  <si>
    <t>газоаналізатор крові з можливістю визначення електролітів, глюкози та лактату, у вигляді системи аналізу крові ЕРОС</t>
  </si>
  <si>
    <t>система рентгенівська радіографічна 7200А</t>
  </si>
  <si>
    <t>перфоратор шкіри ПК-107 (дерматом ручний)</t>
  </si>
  <si>
    <t>система отримання чистої води Cristal EX Pure для неорганічних лабораторних методів</t>
  </si>
  <si>
    <t>сервер HPE ProLiant VicroServer Gen 10 Plus</t>
  </si>
  <si>
    <t>сист.отрим.чистої води Cristal EX Double Flow для лаборат.неорган.методів аналізу</t>
  </si>
  <si>
    <t>резервуар"Comfort" 60л для зберігання води з детект.рівня та гравітаційним краном відбору</t>
  </si>
  <si>
    <t>джерело безпереб.живлен.COVER MZ 100K; шафа акумуляторна 100 Аг-480В;байпасний щит для ДБЖ</t>
  </si>
  <si>
    <t>система рентгенівська діагн.мобільна МАС D цифрова</t>
  </si>
  <si>
    <t>апарати ШВЛ Savina 300</t>
  </si>
  <si>
    <t>монітор пацієнта Vista 120</t>
  </si>
  <si>
    <t>фасадна вивіска</t>
  </si>
  <si>
    <t>апарат ШВЛ CWH-3010 ICU</t>
  </si>
  <si>
    <t>апарат ШВЛ Ventilator S 1500</t>
  </si>
  <si>
    <t>інвазивна штучна вентиляція легень SV 300</t>
  </si>
  <si>
    <t>виг.та вст. тильної сторони вивіски</t>
  </si>
  <si>
    <t>автомобіль Mercedes Benz</t>
  </si>
  <si>
    <t>модульний монітор пацієнта Q 5 (4 шт.)</t>
  </si>
  <si>
    <t>кардіоапарат</t>
  </si>
  <si>
    <t>трансформатор 1 фазний Transformator Noratel 2 LT 16/0-400/230-54</t>
  </si>
  <si>
    <t>хірург.лазерLaserscope GreenLight PV Surgical Laser</t>
  </si>
  <si>
    <t>ел.дерматом дисковий ДЕ-717 (2шт.)</t>
  </si>
  <si>
    <t>апарат УЗД</t>
  </si>
  <si>
    <t>система рентген.діагност. С-подібна Garion</t>
  </si>
  <si>
    <t>монітор пацієнта Efficia CM - 12</t>
  </si>
  <si>
    <t>апарат ШВЛ Neoumovent GraphNet TS</t>
  </si>
  <si>
    <t>апарат рентгенографічний пересувний Арман</t>
  </si>
  <si>
    <t>монітор мед.рідкокрис.MDNC-2221</t>
  </si>
  <si>
    <t>медогляд, досл.ІФА</t>
  </si>
  <si>
    <t>збір та утилізація мед.відходів</t>
  </si>
  <si>
    <t>виг.і встановл захисної перегородки (КТ)</t>
  </si>
  <si>
    <t>короткочасне перебування в зоні митного контролю</t>
  </si>
  <si>
    <t>оплата послуг (крім комунальних): ремонт обладнання, поточні рем.та ін.; страхування автоцивілки, послуги банку; устан.відеодомофону, тепл.завіси, заміна приймача шлагбаума, транспорт.-експедитор.послуги</t>
  </si>
  <si>
    <t>обстеження медичних працівників, медогляд, досл.ІФА</t>
  </si>
  <si>
    <t>виготовл.і встановл захисної перегородки (КТ)</t>
  </si>
  <si>
    <t>комісія банку, послуги митного брокера, короткочасне перебування в зоні митного контролю</t>
  </si>
  <si>
    <t>добудова головного корпусу КНП "ВМКЛ ШМД" за адресою: м.Вінниця, вул. Київська, 68</t>
  </si>
  <si>
    <t>централізовані поставки виділяти окремо з якого періоду?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</si>
</sst>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_-* #,##0.00_₴_-;\-* #,##0.00_₴_-;_-* &quot;-&quot;??_₴_-;_-@_-"/>
    <numFmt numFmtId="165" formatCode="_-* #,##0.00\ _г_р_н_._-;\-* #,##0.00\ _г_р_н_._-;_-* &quot;-&quot;??\ _г_р_н_._-;_-@_-"/>
    <numFmt numFmtId="166" formatCode="#,##0&quot;р.&quot;;[Red]\-#,##0&quot;р.&quot;"/>
    <numFmt numFmtId="167" formatCode="#,##0.00&quot;р.&quot;;\-#,##0.00&quot;р.&quot;"/>
    <numFmt numFmtId="168" formatCode="_-* #,##0.00_р_._-;\-* #,##0.00_р_._-;_-* &quot;-&quot;??_р_.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_);_(* \(#,##0\);_(* &quot;-&quot;??_);_(@_)"/>
    <numFmt numFmtId="178" formatCode="_(* #,##0.0_);_(* \(#,##0.0\);_(* &quot;-&quot;_);_(@_)"/>
    <numFmt numFmtId="179" formatCode="_-* #,##0.0_₴_-;\-* #,##0.0_₴_-;_-* &quot;-&quot;?_₴_-;_-@_-"/>
    <numFmt numFmtId="180" formatCode="#,##0.000"/>
    <numFmt numFmtId="181" formatCode="_(* #,##0.0_);_(* \(#,##0.0\);_(* &quot;-&quot;??_);_(@_)"/>
  </numFmts>
  <fonts count="105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6"/>
      <color theme="1"/>
      <name val="Arial Cyr"/>
      <charset val="204"/>
    </font>
    <font>
      <sz val="12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3"/>
      <color indexed="8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54">
    <xf numFmtId="0" fontId="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4" fillId="2" borderId="0" applyNumberFormat="0" applyBorder="0" applyAlignment="0" applyProtection="0"/>
    <xf numFmtId="0" fontId="1" fillId="2" borderId="0" applyNumberFormat="0" applyBorder="0" applyAlignment="0" applyProtection="0"/>
    <xf numFmtId="0" fontId="24" fillId="3" borderId="0" applyNumberFormat="0" applyBorder="0" applyAlignment="0" applyProtection="0"/>
    <xf numFmtId="0" fontId="1" fillId="3" borderId="0" applyNumberFormat="0" applyBorder="0" applyAlignment="0" applyProtection="0"/>
    <xf numFmtId="0" fontId="24" fillId="4" borderId="0" applyNumberFormat="0" applyBorder="0" applyAlignment="0" applyProtection="0"/>
    <xf numFmtId="0" fontId="1" fillId="4" borderId="0" applyNumberFormat="0" applyBorder="0" applyAlignment="0" applyProtection="0"/>
    <xf numFmtId="0" fontId="24" fillId="5" borderId="0" applyNumberFormat="0" applyBorder="0" applyAlignment="0" applyProtection="0"/>
    <xf numFmtId="0" fontId="1" fillId="5" borderId="0" applyNumberFormat="0" applyBorder="0" applyAlignment="0" applyProtection="0"/>
    <xf numFmtId="0" fontId="24" fillId="6" borderId="0" applyNumberFormat="0" applyBorder="0" applyAlignment="0" applyProtection="0"/>
    <xf numFmtId="0" fontId="1" fillId="6" borderId="0" applyNumberFormat="0" applyBorder="0" applyAlignment="0" applyProtection="0"/>
    <xf numFmtId="0" fontId="24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4" fillId="8" borderId="0" applyNumberFormat="0" applyBorder="0" applyAlignment="0" applyProtection="0"/>
    <xf numFmtId="0" fontId="1" fillId="8" borderId="0" applyNumberFormat="0" applyBorder="0" applyAlignment="0" applyProtection="0"/>
    <xf numFmtId="0" fontId="24" fillId="9" borderId="0" applyNumberFormat="0" applyBorder="0" applyAlignment="0" applyProtection="0"/>
    <xf numFmtId="0" fontId="1" fillId="9" borderId="0" applyNumberFormat="0" applyBorder="0" applyAlignment="0" applyProtection="0"/>
    <xf numFmtId="0" fontId="24" fillId="10" borderId="0" applyNumberFormat="0" applyBorder="0" applyAlignment="0" applyProtection="0"/>
    <xf numFmtId="0" fontId="1" fillId="10" borderId="0" applyNumberFormat="0" applyBorder="0" applyAlignment="0" applyProtection="0"/>
    <xf numFmtId="0" fontId="24" fillId="5" borderId="0" applyNumberFormat="0" applyBorder="0" applyAlignment="0" applyProtection="0"/>
    <xf numFmtId="0" fontId="1" fillId="5" borderId="0" applyNumberFormat="0" applyBorder="0" applyAlignment="0" applyProtection="0"/>
    <xf numFmtId="0" fontId="24" fillId="8" borderId="0" applyNumberFormat="0" applyBorder="0" applyAlignment="0" applyProtection="0"/>
    <xf numFmtId="0" fontId="1" fillId="8" borderId="0" applyNumberFormat="0" applyBorder="0" applyAlignment="0" applyProtection="0"/>
    <xf numFmtId="0" fontId="24" fillId="11" borderId="0" applyNumberFormat="0" applyBorder="0" applyAlignment="0" applyProtection="0"/>
    <xf numFmtId="0" fontId="1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5" fillId="12" borderId="0" applyNumberFormat="0" applyBorder="0" applyAlignment="0" applyProtection="0"/>
    <xf numFmtId="0" fontId="7" fillId="12" borderId="0" applyNumberFormat="0" applyBorder="0" applyAlignment="0" applyProtection="0"/>
    <xf numFmtId="0" fontId="25" fillId="9" borderId="0" applyNumberFormat="0" applyBorder="0" applyAlignment="0" applyProtection="0"/>
    <xf numFmtId="0" fontId="7" fillId="9" borderId="0" applyNumberFormat="0" applyBorder="0" applyAlignment="0" applyProtection="0"/>
    <xf numFmtId="0" fontId="25" fillId="10" borderId="0" applyNumberFormat="0" applyBorder="0" applyAlignment="0" applyProtection="0"/>
    <xf numFmtId="0" fontId="7" fillId="10" borderId="0" applyNumberFormat="0" applyBorder="0" applyAlignment="0" applyProtection="0"/>
    <xf numFmtId="0" fontId="25" fillId="13" borderId="0" applyNumberFormat="0" applyBorder="0" applyAlignment="0" applyProtection="0"/>
    <xf numFmtId="0" fontId="7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4" borderId="0" applyNumberFormat="0" applyBorder="0" applyAlignment="0" applyProtection="0"/>
    <xf numFmtId="0" fontId="25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8" fillId="3" borderId="0" applyNumberFormat="0" applyBorder="0" applyAlignment="0" applyProtection="0"/>
    <xf numFmtId="0" fontId="10" fillId="20" borderId="1" applyNumberFormat="0" applyAlignment="0" applyProtection="0"/>
    <xf numFmtId="0" fontId="15" fillId="21" borderId="2" applyNumberFormat="0" applyAlignment="0" applyProtection="0"/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165" fontId="5" fillId="0" borderId="0" applyFont="0" applyFill="0" applyBorder="0" applyAlignment="0" applyProtection="0"/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0" fontId="19" fillId="0" borderId="0" applyNumberFormat="0" applyFill="0" applyBorder="0" applyAlignment="0" applyProtection="0"/>
    <xf numFmtId="171" fontId="27" fillId="0" borderId="0" applyAlignment="0">
      <alignment wrapText="1"/>
    </xf>
    <xf numFmtId="0" fontId="22" fillId="4" borderId="0" applyNumberFormat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8" fillId="7" borderId="1" applyNumberFormat="0" applyAlignment="0" applyProtection="0"/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29" fillId="22" borderId="7">
      <alignment horizontal="left" vertical="center"/>
      <protection locked="0"/>
    </xf>
    <xf numFmtId="49" fontId="29" fillId="22" borderId="7">
      <alignment horizontal="left" vertical="center"/>
    </xf>
    <xf numFmtId="4" fontId="29" fillId="22" borderId="7">
      <alignment horizontal="right" vertical="center"/>
      <protection locked="0"/>
    </xf>
    <xf numFmtId="4" fontId="29" fillId="22" borderId="7">
      <alignment horizontal="right" vertical="center"/>
    </xf>
    <xf numFmtId="4" fontId="30" fillId="22" borderId="7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2" fillId="22" borderId="3">
      <alignment horizontal="left" vertical="center"/>
      <protection locked="0"/>
    </xf>
    <xf numFmtId="49" fontId="32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3" fillId="22" borderId="3">
      <alignment horizontal="right" vertical="center"/>
      <protection locked="0"/>
    </xf>
    <xf numFmtId="49" fontId="26" fillId="22" borderId="3">
      <alignment horizontal="left" vertical="center"/>
      <protection locked="0"/>
    </xf>
    <xf numFmtId="49" fontId="26" fillId="22" borderId="3">
      <alignment horizontal="left" vertical="center"/>
      <protection locked="0"/>
    </xf>
    <xf numFmtId="49" fontId="26" fillId="22" borderId="3">
      <alignment horizontal="left" vertical="center"/>
    </xf>
    <xf numFmtId="49" fontId="26" fillId="22" borderId="3">
      <alignment horizontal="left" vertical="center"/>
    </xf>
    <xf numFmtId="49" fontId="30" fillId="22" borderId="3">
      <alignment horizontal="left" vertical="center"/>
      <protection locked="0"/>
    </xf>
    <xf numFmtId="49" fontId="30" fillId="22" borderId="3">
      <alignment horizontal="left" vertical="center"/>
    </xf>
    <xf numFmtId="4" fontId="26" fillId="22" borderId="3">
      <alignment horizontal="right" vertical="center"/>
      <protection locked="0"/>
    </xf>
    <xf numFmtId="4" fontId="26" fillId="22" borderId="3">
      <alignment horizontal="right" vertical="center"/>
      <protection locked="0"/>
    </xf>
    <xf numFmtId="4" fontId="26" fillId="22" borderId="3">
      <alignment horizontal="right" vertical="center"/>
    </xf>
    <xf numFmtId="4" fontId="26" fillId="22" borderId="3">
      <alignment horizontal="right" vertical="center"/>
    </xf>
    <xf numFmtId="4" fontId="30" fillId="22" borderId="3">
      <alignment horizontal="righ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</xf>
    <xf numFmtId="4" fontId="36" fillId="22" borderId="3">
      <alignment horizontal="right" vertical="center"/>
      <protection locked="0"/>
    </xf>
    <xf numFmtId="49" fontId="37" fillId="0" borderId="3">
      <alignment horizontal="left" vertical="center"/>
      <protection locked="0"/>
    </xf>
    <xf numFmtId="49" fontId="37" fillId="0" borderId="3">
      <alignment horizontal="left" vertical="center"/>
    </xf>
    <xf numFmtId="49" fontId="38" fillId="0" borderId="3">
      <alignment horizontal="left" vertical="center"/>
      <protection locked="0"/>
    </xf>
    <xf numFmtId="49" fontId="38" fillId="0" borderId="3">
      <alignment horizontal="left" vertical="center"/>
    </xf>
    <xf numFmtId="4" fontId="37" fillId="0" borderId="3">
      <alignment horizontal="right" vertical="center"/>
      <protection locked="0"/>
    </xf>
    <xf numFmtId="4" fontId="37" fillId="0" borderId="3">
      <alignment horizontal="right" vertical="center"/>
    </xf>
    <xf numFmtId="4" fontId="38" fillId="0" borderId="3">
      <alignment horizontal="right" vertical="center"/>
      <protection locked="0"/>
    </xf>
    <xf numFmtId="49" fontId="39" fillId="0" borderId="3">
      <alignment horizontal="left" vertical="center"/>
      <protection locked="0"/>
    </xf>
    <xf numFmtId="49" fontId="39" fillId="0" borderId="3">
      <alignment horizontal="left" vertical="center"/>
    </xf>
    <xf numFmtId="49" fontId="40" fillId="0" borderId="3">
      <alignment horizontal="left" vertical="center"/>
      <protection locked="0"/>
    </xf>
    <xf numFmtId="49" fontId="40" fillId="0" borderId="3">
      <alignment horizontal="left" vertical="center"/>
    </xf>
    <xf numFmtId="4" fontId="39" fillId="0" borderId="3">
      <alignment horizontal="right" vertical="center"/>
      <protection locked="0"/>
    </xf>
    <xf numFmtId="4" fontId="39" fillId="0" borderId="3">
      <alignment horizontal="right" vertical="center"/>
    </xf>
    <xf numFmtId="49" fontId="37" fillId="0" borderId="3">
      <alignment horizontal="left" vertical="center"/>
      <protection locked="0"/>
    </xf>
    <xf numFmtId="49" fontId="38" fillId="0" borderId="3">
      <alignment horizontal="left" vertical="center"/>
      <protection locked="0"/>
    </xf>
    <xf numFmtId="4" fontId="37" fillId="0" borderId="3">
      <alignment horizontal="right" vertical="center"/>
      <protection locked="0"/>
    </xf>
    <xf numFmtId="0" fontId="20" fillId="0" borderId="8" applyNumberFormat="0" applyFill="0" applyAlignment="0" applyProtection="0"/>
    <xf numFmtId="0" fontId="17" fillId="23" borderId="0" applyNumberFormat="0" applyBorder="0" applyAlignment="0" applyProtection="0"/>
    <xf numFmtId="0" fontId="5" fillId="0" borderId="0"/>
    <xf numFmtId="0" fontId="5" fillId="0" borderId="0"/>
    <xf numFmtId="0" fontId="5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1" fillId="26" borderId="3">
      <alignment horizontal="right" vertical="center"/>
      <protection locked="0"/>
    </xf>
    <xf numFmtId="4" fontId="41" fillId="27" borderId="3">
      <alignment horizontal="right" vertical="center"/>
      <protection locked="0"/>
    </xf>
    <xf numFmtId="4" fontId="41" fillId="28" borderId="3">
      <alignment horizontal="right" vertical="center"/>
      <protection locked="0"/>
    </xf>
    <xf numFmtId="0" fontId="9" fillId="20" borderId="10" applyNumberFormat="0" applyAlignment="0" applyProtection="0"/>
    <xf numFmtId="49" fontId="26" fillId="0" borderId="3">
      <alignment horizontal="left" vertical="center" wrapText="1"/>
      <protection locked="0"/>
    </xf>
    <xf numFmtId="49" fontId="26" fillId="0" borderId="3">
      <alignment horizontal="left" vertical="center" wrapText="1"/>
      <protection locked="0"/>
    </xf>
    <xf numFmtId="0" fontId="16" fillId="0" borderId="0" applyNumberFormat="0" applyFill="0" applyBorder="0" applyAlignment="0" applyProtection="0"/>
    <xf numFmtId="0" fontId="14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5" fillId="16" borderId="0" applyNumberFormat="0" applyBorder="0" applyAlignment="0" applyProtection="0"/>
    <xf numFmtId="0" fontId="7" fillId="16" borderId="0" applyNumberFormat="0" applyBorder="0" applyAlignment="0" applyProtection="0"/>
    <xf numFmtId="0" fontId="25" fillId="17" borderId="0" applyNumberFormat="0" applyBorder="0" applyAlignment="0" applyProtection="0"/>
    <xf numFmtId="0" fontId="7" fillId="17" borderId="0" applyNumberFormat="0" applyBorder="0" applyAlignment="0" applyProtection="0"/>
    <xf numFmtId="0" fontId="25" fillId="18" borderId="0" applyNumberFormat="0" applyBorder="0" applyAlignment="0" applyProtection="0"/>
    <xf numFmtId="0" fontId="7" fillId="18" borderId="0" applyNumberFormat="0" applyBorder="0" applyAlignment="0" applyProtection="0"/>
    <xf numFmtId="0" fontId="25" fillId="13" borderId="0" applyNumberFormat="0" applyBorder="0" applyAlignment="0" applyProtection="0"/>
    <xf numFmtId="0" fontId="7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4" borderId="0" applyNumberFormat="0" applyBorder="0" applyAlignment="0" applyProtection="0"/>
    <xf numFmtId="0" fontId="25" fillId="19" borderId="0" applyNumberFormat="0" applyBorder="0" applyAlignment="0" applyProtection="0"/>
    <xf numFmtId="0" fontId="7" fillId="19" borderId="0" applyNumberFormat="0" applyBorder="0" applyAlignment="0" applyProtection="0"/>
    <xf numFmtId="0" fontId="42" fillId="7" borderId="1" applyNumberFormat="0" applyAlignment="0" applyProtection="0"/>
    <xf numFmtId="0" fontId="8" fillId="7" borderId="1" applyNumberFormat="0" applyAlignment="0" applyProtection="0"/>
    <xf numFmtId="0" fontId="43" fillId="20" borderId="10" applyNumberFormat="0" applyAlignment="0" applyProtection="0"/>
    <xf numFmtId="0" fontId="9" fillId="20" borderId="10" applyNumberFormat="0" applyAlignment="0" applyProtection="0"/>
    <xf numFmtId="0" fontId="44" fillId="20" borderId="1" applyNumberFormat="0" applyAlignment="0" applyProtection="0"/>
    <xf numFmtId="0" fontId="10" fillId="20" borderId="1" applyNumberFormat="0" applyAlignment="0" applyProtection="0"/>
    <xf numFmtId="172" fontId="5" fillId="0" borderId="0" applyFont="0" applyFill="0" applyBorder="0" applyAlignment="0" applyProtection="0"/>
    <xf numFmtId="0" fontId="45" fillId="0" borderId="4" applyNumberFormat="0" applyFill="0" applyAlignment="0" applyProtection="0"/>
    <xf numFmtId="0" fontId="11" fillId="0" borderId="4" applyNumberFormat="0" applyFill="0" applyAlignment="0" applyProtection="0"/>
    <xf numFmtId="0" fontId="46" fillId="0" borderId="5" applyNumberFormat="0" applyFill="0" applyAlignment="0" applyProtection="0"/>
    <xf numFmtId="0" fontId="12" fillId="0" borderId="5" applyNumberFormat="0" applyFill="0" applyAlignment="0" applyProtection="0"/>
    <xf numFmtId="0" fontId="47" fillId="0" borderId="6" applyNumberFormat="0" applyFill="0" applyAlignment="0" applyProtection="0"/>
    <xf numFmtId="0" fontId="13" fillId="0" borderId="6" applyNumberFormat="0" applyFill="0" applyAlignment="0" applyProtection="0"/>
    <xf numFmtId="0" fontId="4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8" fillId="0" borderId="11" applyNumberFormat="0" applyFill="0" applyAlignment="0" applyProtection="0"/>
    <xf numFmtId="0" fontId="14" fillId="0" borderId="11" applyNumberFormat="0" applyFill="0" applyAlignment="0" applyProtection="0"/>
    <xf numFmtId="0" fontId="49" fillId="21" borderId="2" applyNumberFormat="0" applyAlignment="0" applyProtection="0"/>
    <xf numFmtId="0" fontId="15" fillId="21" borderId="2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0" fillId="23" borderId="0" applyNumberFormat="0" applyBorder="0" applyAlignment="0" applyProtection="0"/>
    <xf numFmtId="0" fontId="17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61" fillId="0" borderId="0"/>
    <xf numFmtId="0" fontId="5" fillId="0" borderId="0"/>
    <xf numFmtId="0" fontId="2" fillId="0" borderId="0"/>
    <xf numFmtId="0" fontId="5" fillId="0" borderId="0"/>
    <xf numFmtId="0" fontId="5" fillId="0" borderId="0" applyNumberFormat="0" applyFont="0" applyFill="0" applyBorder="0" applyAlignment="0" applyProtection="0">
      <alignment vertical="top"/>
    </xf>
    <xf numFmtId="0" fontId="5" fillId="0" borderId="0" applyNumberFormat="0" applyFont="0" applyFill="0" applyBorder="0" applyAlignment="0" applyProtection="0">
      <alignment vertical="top"/>
    </xf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1" fillId="3" borderId="0" applyNumberFormat="0" applyBorder="0" applyAlignment="0" applyProtection="0"/>
    <xf numFmtId="0" fontId="18" fillId="3" borderId="0" applyNumberFormat="0" applyBorder="0" applyAlignment="0" applyProtection="0"/>
    <xf numFmtId="0" fontId="52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25" borderId="9" applyNumberFormat="0" applyFont="0" applyAlignment="0" applyProtection="0"/>
    <xf numFmtId="0" fontId="5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4" fillId="0" borderId="8" applyNumberFormat="0" applyFill="0" applyAlignment="0" applyProtection="0"/>
    <xf numFmtId="0" fontId="20" fillId="0" borderId="8" applyNumberFormat="0" applyFill="0" applyAlignment="0" applyProtection="0"/>
    <xf numFmtId="0" fontId="23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73" fontId="57" fillId="0" borderId="0" applyFont="0" applyFill="0" applyBorder="0" applyAlignment="0" applyProtection="0"/>
    <xf numFmtId="174" fontId="5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58" fillId="4" borderId="0" applyNumberFormat="0" applyBorder="0" applyAlignment="0" applyProtection="0"/>
    <xf numFmtId="0" fontId="22" fillId="4" borderId="0" applyNumberFormat="0" applyBorder="0" applyAlignment="0" applyProtection="0"/>
    <xf numFmtId="176" fontId="59" fillId="22" borderId="12" applyFill="0" applyBorder="0">
      <alignment horizontal="center" vertical="center" wrapText="1"/>
      <protection locked="0"/>
    </xf>
    <xf numFmtId="171" fontId="60" fillId="0" borderId="0">
      <alignment wrapText="1"/>
    </xf>
    <xf numFmtId="171" fontId="27" fillId="0" borderId="0">
      <alignment wrapText="1"/>
    </xf>
    <xf numFmtId="0" fontId="2" fillId="0" borderId="0"/>
  </cellStyleXfs>
  <cellXfs count="308">
    <xf numFmtId="0" fontId="0" fillId="0" borderId="0" xfId="0"/>
    <xf numFmtId="0" fontId="62" fillId="0" borderId="0" xfId="0" applyFont="1" applyFill="1" applyBorder="1" applyAlignment="1">
      <alignment vertical="center"/>
    </xf>
    <xf numFmtId="0" fontId="62" fillId="0" borderId="0" xfId="0" applyFont="1" applyFill="1" applyAlignment="1">
      <alignment horizontal="center" vertical="center"/>
    </xf>
    <xf numFmtId="0" fontId="62" fillId="0" borderId="0" xfId="0" applyFont="1" applyFill="1" applyAlignment="1">
      <alignment vertical="center"/>
    </xf>
    <xf numFmtId="0" fontId="62" fillId="0" borderId="0" xfId="0" applyFont="1" applyFill="1" applyBorder="1" applyAlignment="1">
      <alignment vertical="center" wrapText="1"/>
    </xf>
    <xf numFmtId="0" fontId="65" fillId="0" borderId="0" xfId="0" applyFont="1" applyFill="1" applyBorder="1" applyAlignment="1">
      <alignment vertical="center"/>
    </xf>
    <xf numFmtId="0" fontId="63" fillId="0" borderId="0" xfId="0" applyFont="1" applyFill="1" applyBorder="1" applyAlignment="1">
      <alignment vertical="center"/>
    </xf>
    <xf numFmtId="0" fontId="65" fillId="0" borderId="0" xfId="0" applyFont="1" applyFill="1" applyBorder="1" applyAlignment="1">
      <alignment vertical="center" wrapText="1"/>
    </xf>
    <xf numFmtId="0" fontId="66" fillId="0" borderId="0" xfId="0" applyFont="1" applyFill="1" applyBorder="1" applyAlignment="1">
      <alignment horizontal="left" vertical="center"/>
    </xf>
    <xf numFmtId="0" fontId="62" fillId="0" borderId="0" xfId="0" applyFont="1" applyFill="1" applyAlignment="1"/>
    <xf numFmtId="0" fontId="72" fillId="0" borderId="3" xfId="0" applyFont="1" applyFill="1" applyBorder="1" applyAlignment="1">
      <alignment horizontal="center" vertical="center" wrapText="1"/>
    </xf>
    <xf numFmtId="178" fontId="63" fillId="0" borderId="3" xfId="0" applyNumberFormat="1" applyFont="1" applyFill="1" applyBorder="1" applyAlignment="1">
      <alignment horizontal="center" vertical="center" wrapText="1"/>
    </xf>
    <xf numFmtId="0" fontId="65" fillId="0" borderId="17" xfId="0" applyFont="1" applyFill="1" applyBorder="1" applyAlignment="1">
      <alignment horizontal="center" vertical="center" wrapText="1"/>
    </xf>
    <xf numFmtId="0" fontId="65" fillId="0" borderId="3" xfId="0" applyFont="1" applyFill="1" applyBorder="1" applyAlignment="1">
      <alignment horizontal="center" vertical="center" wrapText="1"/>
    </xf>
    <xf numFmtId="178" fontId="65" fillId="0" borderId="3" xfId="0" applyNumberFormat="1" applyFont="1" applyFill="1" applyBorder="1" applyAlignment="1">
      <alignment horizontal="center" vertical="center" wrapText="1"/>
    </xf>
    <xf numFmtId="0" fontId="65" fillId="0" borderId="3" xfId="0" applyFont="1" applyFill="1" applyBorder="1" applyAlignment="1">
      <alignment vertical="center" wrapText="1"/>
    </xf>
    <xf numFmtId="178" fontId="64" fillId="0" borderId="3" xfId="0" applyNumberFormat="1" applyFont="1" applyFill="1" applyBorder="1" applyAlignment="1">
      <alignment horizontal="center" vertical="center" wrapText="1"/>
    </xf>
    <xf numFmtId="0" fontId="74" fillId="0" borderId="3" xfId="0" applyFont="1" applyFill="1" applyBorder="1" applyAlignment="1">
      <alignment horizontal="center" vertical="center" wrapText="1"/>
    </xf>
    <xf numFmtId="0" fontId="70" fillId="0" borderId="0" xfId="0" applyFont="1" applyFill="1" applyBorder="1" applyAlignment="1">
      <alignment vertical="center"/>
    </xf>
    <xf numFmtId="0" fontId="70" fillId="0" borderId="3" xfId="0" applyFont="1" applyFill="1" applyBorder="1" applyAlignment="1">
      <alignment horizontal="center" vertical="center"/>
    </xf>
    <xf numFmtId="0" fontId="72" fillId="0" borderId="3" xfId="0" applyFont="1" applyFill="1" applyBorder="1" applyAlignment="1">
      <alignment horizontal="left" vertical="center" wrapText="1"/>
    </xf>
    <xf numFmtId="178" fontId="63" fillId="0" borderId="3" xfId="0" applyNumberFormat="1" applyFont="1" applyFill="1" applyBorder="1" applyAlignment="1">
      <alignment horizontal="center" vertical="center"/>
    </xf>
    <xf numFmtId="0" fontId="80" fillId="0" borderId="3" xfId="0" applyFont="1" applyFill="1" applyBorder="1" applyAlignment="1">
      <alignment horizontal="center" vertical="center" wrapText="1"/>
    </xf>
    <xf numFmtId="0" fontId="79" fillId="0" borderId="3" xfId="0" applyFont="1" applyFill="1" applyBorder="1" applyAlignment="1">
      <alignment horizontal="center" vertical="center" wrapText="1"/>
    </xf>
    <xf numFmtId="0" fontId="72" fillId="0" borderId="3" xfId="0" applyFont="1" applyFill="1" applyBorder="1" applyAlignment="1">
      <alignment horizontal="left" wrapText="1"/>
    </xf>
    <xf numFmtId="178" fontId="72" fillId="0" borderId="3" xfId="0" applyNumberFormat="1" applyFont="1" applyFill="1" applyBorder="1" applyAlignment="1">
      <alignment horizontal="center" vertical="center" wrapText="1"/>
    </xf>
    <xf numFmtId="170" fontId="72" fillId="0" borderId="3" xfId="0" applyNumberFormat="1" applyFont="1" applyFill="1" applyBorder="1" applyAlignment="1">
      <alignment horizontal="right" vertical="center" wrapText="1"/>
    </xf>
    <xf numFmtId="0" fontId="81" fillId="0" borderId="3" xfId="0" applyFont="1" applyFill="1" applyBorder="1" applyAlignment="1">
      <alignment horizontal="left" vertical="center" wrapText="1"/>
    </xf>
    <xf numFmtId="0" fontId="81" fillId="0" borderId="3" xfId="0" quotePrefix="1" applyFont="1" applyFill="1" applyBorder="1" applyAlignment="1">
      <alignment horizontal="center" vertical="center"/>
    </xf>
    <xf numFmtId="0" fontId="74" fillId="0" borderId="3" xfId="0" quotePrefix="1" applyFont="1" applyFill="1" applyBorder="1" applyAlignment="1">
      <alignment horizontal="center" vertical="center"/>
    </xf>
    <xf numFmtId="178" fontId="73" fillId="0" borderId="3" xfId="0" applyNumberFormat="1" applyFont="1" applyFill="1" applyBorder="1" applyAlignment="1">
      <alignment horizontal="right" vertical="center" wrapText="1"/>
    </xf>
    <xf numFmtId="178" fontId="73" fillId="0" borderId="3" xfId="0" applyNumberFormat="1" applyFont="1" applyFill="1" applyBorder="1" applyAlignment="1">
      <alignment horizontal="center" vertical="center" wrapText="1"/>
    </xf>
    <xf numFmtId="0" fontId="70" fillId="0" borderId="0" xfId="0" applyFont="1" applyFill="1" applyBorder="1" applyAlignment="1">
      <alignment vertical="center" wrapText="1"/>
    </xf>
    <xf numFmtId="0" fontId="65" fillId="0" borderId="13" xfId="0" applyFont="1" applyFill="1" applyBorder="1" applyAlignment="1">
      <alignment horizontal="center" vertical="center"/>
    </xf>
    <xf numFmtId="0" fontId="70" fillId="0" borderId="0" xfId="0" applyFont="1" applyFill="1" applyAlignment="1">
      <alignment horizontal="center" vertical="center"/>
    </xf>
    <xf numFmtId="0" fontId="74" fillId="0" borderId="3" xfId="0" applyFont="1" applyFill="1" applyBorder="1" applyAlignment="1">
      <alignment horizontal="left" vertical="center" wrapText="1"/>
    </xf>
    <xf numFmtId="178" fontId="72" fillId="0" borderId="3" xfId="0" applyNumberFormat="1" applyFont="1" applyFill="1" applyBorder="1" applyAlignment="1">
      <alignment horizontal="right" vertical="center" wrapText="1"/>
    </xf>
    <xf numFmtId="0" fontId="74" fillId="0" borderId="3" xfId="0" applyFont="1" applyFill="1" applyBorder="1" applyAlignment="1">
      <alignment horizontal="right" vertical="center" wrapText="1"/>
    </xf>
    <xf numFmtId="178" fontId="74" fillId="0" borderId="3" xfId="0" applyNumberFormat="1" applyFont="1" applyFill="1" applyBorder="1" applyAlignment="1">
      <alignment horizontal="right" vertical="center" wrapText="1"/>
    </xf>
    <xf numFmtId="0" fontId="72" fillId="0" borderId="3" xfId="0" applyFont="1" applyFill="1" applyBorder="1" applyAlignment="1">
      <alignment vertical="center" wrapText="1"/>
    </xf>
    <xf numFmtId="0" fontId="74" fillId="0" borderId="3" xfId="0" applyFont="1" applyFill="1" applyBorder="1" applyAlignment="1">
      <alignment vertical="center" wrapText="1"/>
    </xf>
    <xf numFmtId="0" fontId="72" fillId="0" borderId="17" xfId="0" applyFont="1" applyFill="1" applyBorder="1" applyAlignment="1">
      <alignment horizontal="center" vertical="center" wrapText="1"/>
    </xf>
    <xf numFmtId="170" fontId="74" fillId="0" borderId="3" xfId="0" applyNumberFormat="1" applyFont="1" applyFill="1" applyBorder="1" applyAlignment="1">
      <alignment horizontal="right" vertical="center" wrapText="1"/>
    </xf>
    <xf numFmtId="0" fontId="84" fillId="0" borderId="3" xfId="0" applyFont="1" applyFill="1" applyBorder="1" applyAlignment="1">
      <alignment horizontal="center" vertical="center" wrapText="1"/>
    </xf>
    <xf numFmtId="0" fontId="85" fillId="0" borderId="3" xfId="0" applyFont="1" applyFill="1" applyBorder="1" applyAlignment="1">
      <alignment horizontal="left" vertical="center" wrapText="1"/>
    </xf>
    <xf numFmtId="0" fontId="72" fillId="0" borderId="15" xfId="0" applyFont="1" applyFill="1" applyBorder="1" applyAlignment="1">
      <alignment horizontal="left" vertical="center" wrapText="1"/>
    </xf>
    <xf numFmtId="0" fontId="86" fillId="0" borderId="3" xfId="0" applyFont="1" applyFill="1" applyBorder="1" applyAlignment="1">
      <alignment horizontal="left" vertical="center" wrapText="1"/>
    </xf>
    <xf numFmtId="0" fontId="86" fillId="0" borderId="15" xfId="0" applyFont="1" applyFill="1" applyBorder="1" applyAlignment="1">
      <alignment horizontal="left" vertical="center" wrapText="1"/>
    </xf>
    <xf numFmtId="0" fontId="64" fillId="0" borderId="3" xfId="0" applyFont="1" applyFill="1" applyBorder="1" applyAlignment="1">
      <alignment horizontal="left" vertical="center" wrapText="1"/>
    </xf>
    <xf numFmtId="0" fontId="63" fillId="0" borderId="3" xfId="0" applyFont="1" applyFill="1" applyBorder="1" applyAlignment="1">
      <alignment horizontal="left" vertical="center" wrapText="1"/>
    </xf>
    <xf numFmtId="0" fontId="72" fillId="0" borderId="3" xfId="0" applyFont="1" applyFill="1" applyBorder="1" applyAlignment="1">
      <alignment horizontal="right" vertical="center"/>
    </xf>
    <xf numFmtId="0" fontId="74" fillId="0" borderId="3" xfId="0" applyFont="1" applyFill="1" applyBorder="1" applyAlignment="1">
      <alignment horizontal="center" vertical="center"/>
    </xf>
    <xf numFmtId="0" fontId="72" fillId="0" borderId="3" xfId="0" applyFont="1" applyFill="1" applyBorder="1" applyAlignment="1">
      <alignment horizontal="center" vertical="center"/>
    </xf>
    <xf numFmtId="178" fontId="65" fillId="0" borderId="3" xfId="0" applyNumberFormat="1" applyFont="1" applyFill="1" applyBorder="1" applyAlignment="1">
      <alignment horizontal="center" vertical="center"/>
    </xf>
    <xf numFmtId="0" fontId="72" fillId="0" borderId="15" xfId="0" applyFont="1" applyFill="1" applyBorder="1" applyAlignment="1">
      <alignment vertical="center"/>
    </xf>
    <xf numFmtId="0" fontId="72" fillId="0" borderId="3" xfId="0" applyFont="1" applyFill="1" applyBorder="1" applyAlignment="1">
      <alignment vertical="center"/>
    </xf>
    <xf numFmtId="0" fontId="72" fillId="0" borderId="3" xfId="0" applyFont="1" applyFill="1" applyBorder="1" applyAlignment="1">
      <alignment horizontal="center"/>
    </xf>
    <xf numFmtId="0" fontId="74" fillId="0" borderId="3" xfId="0" applyFont="1" applyFill="1" applyBorder="1" applyAlignment="1">
      <alignment vertical="center"/>
    </xf>
    <xf numFmtId="0" fontId="72" fillId="0" borderId="18" xfId="0" applyFont="1" applyFill="1" applyBorder="1" applyAlignment="1">
      <alignment horizontal="center"/>
    </xf>
    <xf numFmtId="0" fontId="85" fillId="0" borderId="16" xfId="0" applyFont="1" applyFill="1" applyBorder="1" applyAlignment="1">
      <alignment horizontal="left" vertical="center" wrapText="1"/>
    </xf>
    <xf numFmtId="0" fontId="65" fillId="0" borderId="3" xfId="0" applyFont="1" applyFill="1" applyBorder="1" applyAlignment="1">
      <alignment horizontal="left" vertical="center" wrapText="1"/>
    </xf>
    <xf numFmtId="178" fontId="62" fillId="0" borderId="0" xfId="0" applyNumberFormat="1" applyFont="1" applyFill="1" applyBorder="1" applyAlignment="1">
      <alignment vertical="center"/>
    </xf>
    <xf numFmtId="0" fontId="75" fillId="0" borderId="0" xfId="0" applyFont="1" applyFill="1" applyBorder="1" applyAlignment="1">
      <alignment vertical="center" wrapText="1"/>
    </xf>
    <xf numFmtId="0" fontId="76" fillId="0" borderId="0" xfId="0" applyFont="1" applyFill="1" applyBorder="1" applyAlignment="1">
      <alignment horizontal="center" vertical="center" wrapText="1"/>
    </xf>
    <xf numFmtId="0" fontId="75" fillId="0" borderId="0" xfId="0" applyFont="1" applyFill="1" applyBorder="1" applyAlignment="1">
      <alignment horizontal="center" vertical="center" wrapText="1"/>
    </xf>
    <xf numFmtId="0" fontId="75" fillId="0" borderId="0" xfId="0" applyFont="1" applyFill="1" applyBorder="1" applyAlignment="1">
      <alignment vertical="center"/>
    </xf>
    <xf numFmtId="0" fontId="75" fillId="0" borderId="3" xfId="0" applyFont="1" applyFill="1" applyBorder="1" applyAlignment="1">
      <alignment horizontal="center" vertical="center" wrapText="1"/>
    </xf>
    <xf numFmtId="169" fontId="63" fillId="0" borderId="0" xfId="0" applyNumberFormat="1" applyFont="1" applyFill="1" applyBorder="1" applyAlignment="1">
      <alignment horizontal="center" vertical="center" wrapText="1"/>
    </xf>
    <xf numFmtId="169" fontId="65" fillId="0" borderId="0" xfId="0" applyNumberFormat="1" applyFont="1" applyFill="1" applyBorder="1" applyAlignment="1">
      <alignment horizontal="center" vertical="center"/>
    </xf>
    <xf numFmtId="0" fontId="63" fillId="0" borderId="13" xfId="0" applyFont="1" applyFill="1" applyBorder="1" applyAlignment="1">
      <alignment horizontal="center"/>
    </xf>
    <xf numFmtId="169" fontId="65" fillId="0" borderId="13" xfId="0" applyNumberFormat="1" applyFont="1" applyFill="1" applyBorder="1" applyAlignment="1">
      <alignment horizontal="center" vertical="center"/>
    </xf>
    <xf numFmtId="0" fontId="70" fillId="0" borderId="0" xfId="0" applyFont="1" applyFill="1" applyAlignment="1">
      <alignment vertical="center"/>
    </xf>
    <xf numFmtId="0" fontId="87" fillId="0" borderId="0" xfId="0" applyFont="1" applyFill="1" applyBorder="1" applyAlignment="1">
      <alignment horizontal="left" vertical="center"/>
    </xf>
    <xf numFmtId="0" fontId="70" fillId="0" borderId="13" xfId="0" applyFont="1" applyFill="1" applyBorder="1" applyAlignment="1">
      <alignment horizontal="center" vertical="center"/>
    </xf>
    <xf numFmtId="0" fontId="70" fillId="29" borderId="0" xfId="0" applyFont="1" applyFill="1" applyAlignment="1">
      <alignment vertical="center"/>
    </xf>
    <xf numFmtId="0" fontId="70" fillId="0" borderId="3" xfId="0" applyFont="1" applyFill="1" applyBorder="1" applyAlignment="1">
      <alignment horizontal="center" vertical="center" wrapText="1"/>
    </xf>
    <xf numFmtId="178" fontId="70" fillId="0" borderId="3" xfId="0" applyNumberFormat="1" applyFont="1" applyFill="1" applyBorder="1" applyAlignment="1">
      <alignment horizontal="center" vertical="center" wrapText="1"/>
    </xf>
    <xf numFmtId="178" fontId="79" fillId="0" borderId="3" xfId="0" applyNumberFormat="1" applyFont="1" applyFill="1" applyBorder="1" applyAlignment="1">
      <alignment horizontal="center" vertical="center" wrapText="1"/>
    </xf>
    <xf numFmtId="0" fontId="70" fillId="0" borderId="0" xfId="0" applyFont="1" applyFill="1" applyAlignment="1"/>
    <xf numFmtId="0" fontId="70" fillId="29" borderId="0" xfId="0" applyFont="1" applyFill="1" applyAlignment="1">
      <alignment vertical="center" wrapText="1" shrinkToFit="1"/>
    </xf>
    <xf numFmtId="0" fontId="70" fillId="29" borderId="0" xfId="0" applyFont="1" applyFill="1" applyBorder="1" applyAlignment="1">
      <alignment vertical="center" wrapText="1" shrinkToFit="1"/>
    </xf>
    <xf numFmtId="0" fontId="70" fillId="0" borderId="0" xfId="0" applyFont="1" applyFill="1" applyBorder="1" applyAlignment="1">
      <alignment vertical="center" wrapText="1" shrinkToFit="1"/>
    </xf>
    <xf numFmtId="0" fontId="89" fillId="0" borderId="0" xfId="0" applyFont="1" applyFill="1" applyAlignment="1">
      <alignment vertical="center"/>
    </xf>
    <xf numFmtId="178" fontId="71" fillId="0" borderId="3" xfId="0" applyNumberFormat="1" applyFont="1" applyFill="1" applyBorder="1" applyAlignment="1">
      <alignment horizontal="right" vertical="center" wrapText="1"/>
    </xf>
    <xf numFmtId="0" fontId="65" fillId="0" borderId="16" xfId="0" applyFont="1" applyFill="1" applyBorder="1" applyAlignment="1">
      <alignment horizontal="left" vertical="center" wrapText="1"/>
    </xf>
    <xf numFmtId="0" fontId="65" fillId="0" borderId="17" xfId="0" applyFont="1" applyFill="1" applyBorder="1" applyAlignment="1">
      <alignment horizontal="center" vertical="center" wrapText="1" shrinkToFit="1"/>
    </xf>
    <xf numFmtId="0" fontId="65" fillId="0" borderId="16" xfId="0" applyFont="1" applyFill="1" applyBorder="1" applyAlignment="1">
      <alignment horizontal="center" vertical="center" wrapText="1"/>
    </xf>
    <xf numFmtId="178" fontId="63" fillId="0" borderId="3" xfId="0" applyNumberFormat="1" applyFont="1" applyFill="1" applyBorder="1" applyAlignment="1">
      <alignment vertical="center"/>
    </xf>
    <xf numFmtId="178" fontId="83" fillId="0" borderId="3" xfId="0" applyNumberFormat="1" applyFont="1" applyFill="1" applyBorder="1" applyAlignment="1">
      <alignment vertical="center" wrapText="1"/>
    </xf>
    <xf numFmtId="178" fontId="83" fillId="0" borderId="3" xfId="0" applyNumberFormat="1" applyFont="1" applyFill="1" applyBorder="1" applyAlignment="1">
      <alignment vertical="center"/>
    </xf>
    <xf numFmtId="178" fontId="83" fillId="0" borderId="3" xfId="0" applyNumberFormat="1" applyFont="1" applyFill="1" applyBorder="1" applyAlignment="1">
      <alignment horizontal="center" vertical="center" wrapText="1"/>
    </xf>
    <xf numFmtId="178" fontId="83" fillId="0" borderId="3" xfId="0" applyNumberFormat="1" applyFont="1" applyFill="1" applyBorder="1" applyAlignment="1">
      <alignment horizontal="center" vertical="center"/>
    </xf>
    <xf numFmtId="0" fontId="72" fillId="0" borderId="3" xfId="0" quotePrefix="1" applyFont="1" applyFill="1" applyBorder="1" applyAlignment="1">
      <alignment horizontal="center" vertical="center"/>
    </xf>
    <xf numFmtId="0" fontId="81" fillId="0" borderId="3" xfId="0" applyFont="1" applyFill="1" applyBorder="1" applyAlignment="1">
      <alignment vertical="center" wrapText="1"/>
    </xf>
    <xf numFmtId="0" fontId="81" fillId="0" borderId="3" xfId="182" applyFont="1" applyFill="1" applyBorder="1" applyAlignment="1">
      <alignment vertical="center" wrapText="1"/>
      <protection locked="0"/>
    </xf>
    <xf numFmtId="0" fontId="83" fillId="0" borderId="3" xfId="0" applyFont="1" applyFill="1" applyBorder="1" applyAlignment="1">
      <alignment horizontal="left" vertical="center" wrapText="1"/>
    </xf>
    <xf numFmtId="0" fontId="90" fillId="0" borderId="0" xfId="0" applyFont="1" applyFill="1" applyBorder="1" applyAlignment="1"/>
    <xf numFmtId="0" fontId="90" fillId="0" borderId="0" xfId="0" applyFont="1" applyFill="1" applyBorder="1" applyAlignment="1">
      <alignment horizontal="center"/>
    </xf>
    <xf numFmtId="177" fontId="73" fillId="0" borderId="3" xfId="0" applyNumberFormat="1" applyFont="1" applyFill="1" applyBorder="1" applyAlignment="1">
      <alignment horizontal="right" vertical="center" wrapText="1"/>
    </xf>
    <xf numFmtId="181" fontId="72" fillId="0" borderId="3" xfId="0" applyNumberFormat="1" applyFont="1" applyFill="1" applyBorder="1" applyAlignment="1">
      <alignment horizontal="right" vertical="center" wrapText="1"/>
    </xf>
    <xf numFmtId="178" fontId="92" fillId="0" borderId="3" xfId="0" applyNumberFormat="1" applyFont="1" applyFill="1" applyBorder="1" applyAlignment="1">
      <alignment horizontal="center" vertical="center" wrapText="1"/>
    </xf>
    <xf numFmtId="170" fontId="72" fillId="0" borderId="0" xfId="0" applyNumberFormat="1" applyFont="1" applyFill="1" applyBorder="1" applyAlignment="1">
      <alignment horizontal="right" vertical="center" wrapText="1"/>
    </xf>
    <xf numFmtId="0" fontId="72" fillId="0" borderId="3" xfId="353" applyFont="1" applyFill="1" applyBorder="1" applyAlignment="1">
      <alignment horizontal="left" vertical="center" wrapText="1"/>
    </xf>
    <xf numFmtId="0" fontId="70" fillId="0" borderId="13" xfId="0" applyFont="1" applyFill="1" applyBorder="1" applyAlignment="1">
      <alignment vertical="center"/>
    </xf>
    <xf numFmtId="0" fontId="70" fillId="0" borderId="0" xfId="0" applyFont="1" applyFill="1" applyAlignment="1">
      <alignment horizontal="right" vertical="center"/>
    </xf>
    <xf numFmtId="0" fontId="87" fillId="0" borderId="3" xfId="0" applyFont="1" applyFill="1" applyBorder="1" applyAlignment="1">
      <alignment horizontal="center" vertical="center" wrapText="1"/>
    </xf>
    <xf numFmtId="0" fontId="87" fillId="0" borderId="15" xfId="0" applyFont="1" applyFill="1" applyBorder="1" applyAlignment="1">
      <alignment horizontal="left" vertical="center" wrapText="1"/>
    </xf>
    <xf numFmtId="0" fontId="70" fillId="0" borderId="15" xfId="0" applyFont="1" applyFill="1" applyBorder="1" applyAlignment="1">
      <alignment horizontal="left" vertical="center" wrapText="1"/>
    </xf>
    <xf numFmtId="0" fontId="82" fillId="0" borderId="0" xfId="0" applyFont="1" applyFill="1" applyBorder="1" applyAlignment="1">
      <alignment horizontal="center" vertical="center"/>
    </xf>
    <xf numFmtId="0" fontId="85" fillId="0" borderId="3" xfId="0" applyFont="1" applyFill="1" applyBorder="1" applyAlignment="1">
      <alignment vertical="center" wrapText="1"/>
    </xf>
    <xf numFmtId="0" fontId="85" fillId="0" borderId="3" xfId="182" applyFont="1" applyFill="1" applyBorder="1" applyAlignment="1">
      <alignment vertical="center" wrapText="1"/>
      <protection locked="0"/>
    </xf>
    <xf numFmtId="0" fontId="85" fillId="0" borderId="15" xfId="0" applyFont="1" applyFill="1" applyBorder="1" applyAlignment="1">
      <alignment horizontal="left" vertical="center" wrapText="1"/>
    </xf>
    <xf numFmtId="0" fontId="62" fillId="0" borderId="0" xfId="0" applyFont="1" applyFill="1" applyBorder="1" applyAlignment="1">
      <alignment horizontal="center" vertical="center"/>
    </xf>
    <xf numFmtId="0" fontId="65" fillId="0" borderId="0" xfId="0" applyFont="1" applyFill="1" applyBorder="1" applyAlignment="1">
      <alignment horizontal="center" vertical="center"/>
    </xf>
    <xf numFmtId="0" fontId="93" fillId="0" borderId="3" xfId="0" applyFont="1" applyFill="1" applyBorder="1" applyAlignment="1">
      <alignment horizontal="center" vertical="center" wrapText="1"/>
    </xf>
    <xf numFmtId="0" fontId="79" fillId="0" borderId="3" xfId="0" applyFont="1" applyFill="1" applyBorder="1" applyAlignment="1">
      <alignment horizontal="center" vertical="center"/>
    </xf>
    <xf numFmtId="178" fontId="74" fillId="0" borderId="3" xfId="0" applyNumberFormat="1" applyFont="1" applyFill="1" applyBorder="1" applyAlignment="1">
      <alignment horizontal="center" vertical="center" wrapText="1"/>
    </xf>
    <xf numFmtId="0" fontId="63" fillId="0" borderId="3" xfId="0" applyFont="1" applyFill="1" applyBorder="1" applyAlignment="1">
      <alignment vertical="center" wrapText="1"/>
    </xf>
    <xf numFmtId="0" fontId="74" fillId="0" borderId="3" xfId="0" applyFont="1" applyFill="1" applyBorder="1" applyAlignment="1">
      <alignment horizontal="left" wrapText="1"/>
    </xf>
    <xf numFmtId="0" fontId="94" fillId="0" borderId="3" xfId="0" applyFont="1" applyFill="1" applyBorder="1" applyAlignment="1">
      <alignment horizontal="center" vertical="center" wrapText="1"/>
    </xf>
    <xf numFmtId="49" fontId="95" fillId="0" borderId="3" xfId="0" applyNumberFormat="1" applyFont="1" applyFill="1" applyBorder="1" applyAlignment="1">
      <alignment horizontal="center" vertical="center" wrapText="1"/>
    </xf>
    <xf numFmtId="49" fontId="96" fillId="0" borderId="3" xfId="0" applyNumberFormat="1" applyFont="1" applyFill="1" applyBorder="1" applyAlignment="1">
      <alignment horizontal="center" vertical="center" wrapText="1"/>
    </xf>
    <xf numFmtId="49" fontId="93" fillId="0" borderId="3" xfId="0" applyNumberFormat="1" applyFont="1" applyFill="1" applyBorder="1" applyAlignment="1">
      <alignment horizontal="center" vertical="center" wrapText="1"/>
    </xf>
    <xf numFmtId="49" fontId="94" fillId="0" borderId="3" xfId="0" applyNumberFormat="1" applyFont="1" applyFill="1" applyBorder="1" applyAlignment="1">
      <alignment horizontal="center" vertical="center" wrapText="1"/>
    </xf>
    <xf numFmtId="49" fontId="76" fillId="0" borderId="3" xfId="0" applyNumberFormat="1" applyFont="1" applyFill="1" applyBorder="1" applyAlignment="1">
      <alignment horizontal="center" vertical="center" wrapText="1"/>
    </xf>
    <xf numFmtId="49" fontId="75" fillId="0" borderId="3" xfId="0" applyNumberFormat="1" applyFont="1" applyFill="1" applyBorder="1" applyAlignment="1">
      <alignment horizontal="center" vertical="center" wrapText="1"/>
    </xf>
    <xf numFmtId="49" fontId="97" fillId="0" borderId="3" xfId="0" applyNumberFormat="1" applyFont="1" applyFill="1" applyBorder="1" applyAlignment="1">
      <alignment horizontal="center" vertical="center" wrapText="1"/>
    </xf>
    <xf numFmtId="49" fontId="98" fillId="0" borderId="3" xfId="0" applyNumberFormat="1" applyFont="1" applyFill="1" applyBorder="1" applyAlignment="1">
      <alignment horizontal="center" vertical="center" wrapText="1"/>
    </xf>
    <xf numFmtId="0" fontId="79" fillId="0" borderId="0" xfId="0" applyFont="1" applyFill="1" applyBorder="1" applyAlignment="1">
      <alignment vertical="center"/>
    </xf>
    <xf numFmtId="0" fontId="79" fillId="0" borderId="0" xfId="0" applyFont="1" applyFill="1" applyAlignment="1">
      <alignment horizontal="left" vertical="center"/>
    </xf>
    <xf numFmtId="0" fontId="99" fillId="0" borderId="0" xfId="0" applyFont="1" applyFill="1" applyAlignment="1">
      <alignment horizontal="center" vertical="center"/>
    </xf>
    <xf numFmtId="0" fontId="72" fillId="0" borderId="3" xfId="0" applyFont="1" applyFill="1" applyBorder="1" applyAlignment="1">
      <alignment horizontal="center" vertical="center" wrapText="1" shrinkToFit="1"/>
    </xf>
    <xf numFmtId="0" fontId="79" fillId="0" borderId="17" xfId="0" applyFont="1" applyFill="1" applyBorder="1" applyAlignment="1">
      <alignment horizontal="center" vertical="center"/>
    </xf>
    <xf numFmtId="0" fontId="79" fillId="0" borderId="17" xfId="0" applyFont="1" applyFill="1" applyBorder="1" applyAlignment="1">
      <alignment horizontal="center" vertical="center" wrapText="1"/>
    </xf>
    <xf numFmtId="0" fontId="79" fillId="0" borderId="20" xfId="0" applyFont="1" applyFill="1" applyBorder="1" applyAlignment="1">
      <alignment horizontal="center" vertical="center" wrapText="1"/>
    </xf>
    <xf numFmtId="0" fontId="71" fillId="0" borderId="3" xfId="182" applyFont="1" applyFill="1" applyBorder="1" applyAlignment="1">
      <alignment vertical="center" wrapText="1"/>
      <protection locked="0"/>
    </xf>
    <xf numFmtId="0" fontId="71" fillId="0" borderId="3" xfId="0" applyFont="1" applyFill="1" applyBorder="1" applyAlignment="1">
      <alignment horizontal="center" vertical="center"/>
    </xf>
    <xf numFmtId="178" fontId="71" fillId="0" borderId="3" xfId="0" applyNumberFormat="1" applyFont="1" applyFill="1" applyBorder="1" applyAlignment="1">
      <alignment horizontal="center" vertical="center" wrapText="1"/>
    </xf>
    <xf numFmtId="0" fontId="73" fillId="0" borderId="3" xfId="0" applyFont="1" applyFill="1" applyBorder="1" applyAlignment="1">
      <alignment horizontal="left" vertical="center" wrapText="1"/>
    </xf>
    <xf numFmtId="0" fontId="73" fillId="0" borderId="3" xfId="0" applyFont="1" applyFill="1" applyBorder="1" applyAlignment="1">
      <alignment horizontal="center" vertical="center"/>
    </xf>
    <xf numFmtId="178" fontId="93" fillId="0" borderId="3" xfId="0" applyNumberFormat="1" applyFont="1" applyFill="1" applyBorder="1" applyAlignment="1">
      <alignment horizontal="center" vertical="center" wrapText="1"/>
    </xf>
    <xf numFmtId="0" fontId="73" fillId="0" borderId="3" xfId="182" applyFont="1" applyFill="1" applyBorder="1" applyAlignment="1">
      <alignment vertical="center" wrapText="1"/>
      <protection locked="0"/>
    </xf>
    <xf numFmtId="178" fontId="71" fillId="0" borderId="3" xfId="0" applyNumberFormat="1" applyFont="1" applyFill="1" applyBorder="1" applyAlignment="1">
      <alignment vertical="center" wrapText="1"/>
    </xf>
    <xf numFmtId="178" fontId="94" fillId="0" borderId="3" xfId="0" applyNumberFormat="1" applyFont="1" applyFill="1" applyBorder="1" applyAlignment="1">
      <alignment horizontal="center" vertical="center" wrapText="1"/>
    </xf>
    <xf numFmtId="0" fontId="71" fillId="0" borderId="3" xfId="0" applyFont="1" applyFill="1" applyBorder="1" applyAlignment="1">
      <alignment horizontal="left" vertical="center" wrapText="1"/>
    </xf>
    <xf numFmtId="0" fontId="71" fillId="0" borderId="3" xfId="245" applyFont="1" applyFill="1" applyBorder="1" applyAlignment="1">
      <alignment horizontal="left" vertical="center" wrapText="1"/>
    </xf>
    <xf numFmtId="0" fontId="73" fillId="0" borderId="3" xfId="245" applyFont="1" applyFill="1" applyBorder="1" applyAlignment="1">
      <alignment horizontal="left" vertical="center" wrapText="1"/>
    </xf>
    <xf numFmtId="0" fontId="71" fillId="0" borderId="3" xfId="0" applyFont="1" applyFill="1" applyBorder="1" applyAlignment="1" applyProtection="1">
      <alignment horizontal="left" vertical="center" wrapText="1"/>
      <protection locked="0"/>
    </xf>
    <xf numFmtId="49" fontId="71" fillId="0" borderId="3" xfId="0" applyNumberFormat="1" applyFont="1" applyFill="1" applyBorder="1" applyAlignment="1">
      <alignment horizontal="center" vertical="center"/>
    </xf>
    <xf numFmtId="177" fontId="71" fillId="0" borderId="3" xfId="0" applyNumberFormat="1" applyFont="1" applyFill="1" applyBorder="1" applyAlignment="1">
      <alignment horizontal="center" vertical="center" wrapText="1"/>
    </xf>
    <xf numFmtId="177" fontId="73" fillId="0" borderId="3" xfId="0" applyNumberFormat="1" applyFont="1" applyFill="1" applyBorder="1" applyAlignment="1">
      <alignment horizontal="center" vertical="center" wrapText="1"/>
    </xf>
    <xf numFmtId="0" fontId="101" fillId="0" borderId="0" xfId="0" applyFont="1" applyFill="1" applyBorder="1" applyAlignment="1">
      <alignment horizontal="center" wrapText="1"/>
    </xf>
    <xf numFmtId="0" fontId="73" fillId="0" borderId="0" xfId="0" quotePrefix="1" applyFont="1" applyFill="1" applyBorder="1" applyAlignment="1">
      <alignment horizontal="center" vertical="center"/>
    </xf>
    <xf numFmtId="170" fontId="100" fillId="0" borderId="0" xfId="0" applyNumberFormat="1" applyFont="1" applyFill="1" applyBorder="1" applyAlignment="1">
      <alignment vertical="center"/>
    </xf>
    <xf numFmtId="0" fontId="73" fillId="0" borderId="0" xfId="0" applyFont="1" applyFill="1" applyBorder="1" applyAlignment="1">
      <alignment vertical="center"/>
    </xf>
    <xf numFmtId="0" fontId="73" fillId="0" borderId="0" xfId="0" applyFont="1" applyFill="1" applyAlignment="1">
      <alignment horizontal="left" vertical="center"/>
    </xf>
    <xf numFmtId="0" fontId="65" fillId="30" borderId="0" xfId="0" applyFont="1" applyFill="1" applyBorder="1" applyAlignment="1">
      <alignment horizontal="center" vertical="center"/>
    </xf>
    <xf numFmtId="178" fontId="102" fillId="0" borderId="3" xfId="0" applyNumberFormat="1" applyFont="1" applyFill="1" applyBorder="1" applyAlignment="1">
      <alignment horizontal="center" vertical="center" wrapText="1"/>
    </xf>
    <xf numFmtId="178" fontId="103" fillId="0" borderId="3" xfId="0" applyNumberFormat="1" applyFont="1" applyFill="1" applyBorder="1" applyAlignment="1">
      <alignment horizontal="center" vertical="center" wrapText="1"/>
    </xf>
    <xf numFmtId="0" fontId="65" fillId="31" borderId="17" xfId="0" applyFont="1" applyFill="1" applyBorder="1" applyAlignment="1">
      <alignment horizontal="center" vertical="center" wrapText="1"/>
    </xf>
    <xf numFmtId="0" fontId="104" fillId="0" borderId="3" xfId="0" applyFont="1" applyFill="1" applyBorder="1" applyAlignment="1">
      <alignment horizontal="left" vertical="center" wrapText="1"/>
    </xf>
    <xf numFmtId="178" fontId="89" fillId="0" borderId="3" xfId="0" applyNumberFormat="1" applyFont="1" applyFill="1" applyBorder="1" applyAlignment="1">
      <alignment horizontal="center" vertical="center" wrapText="1"/>
    </xf>
    <xf numFmtId="0" fontId="93" fillId="0" borderId="3" xfId="0" applyFont="1" applyFill="1" applyBorder="1" applyAlignment="1">
      <alignment horizontal="right" vertical="center" wrapText="1"/>
    </xf>
    <xf numFmtId="0" fontId="94" fillId="0" borderId="3" xfId="0" applyFont="1" applyFill="1" applyBorder="1" applyAlignment="1">
      <alignment horizontal="right" vertical="center" wrapText="1"/>
    </xf>
    <xf numFmtId="0" fontId="95" fillId="0" borderId="3" xfId="0" applyFont="1" applyFill="1" applyBorder="1" applyAlignment="1">
      <alignment horizontal="center" vertical="center" wrapText="1"/>
    </xf>
    <xf numFmtId="180" fontId="93" fillId="0" borderId="3" xfId="353" applyNumberFormat="1" applyFont="1" applyFill="1" applyBorder="1" applyAlignment="1">
      <alignment horizontal="center" vertical="center" wrapText="1"/>
    </xf>
    <xf numFmtId="0" fontId="96" fillId="0" borderId="3" xfId="0" applyFont="1" applyFill="1" applyBorder="1" applyAlignment="1">
      <alignment horizontal="center" vertical="center" wrapText="1"/>
    </xf>
    <xf numFmtId="0" fontId="76" fillId="0" borderId="3" xfId="0" applyFont="1" applyFill="1" applyBorder="1" applyAlignment="1">
      <alignment horizontal="center" vertical="center" wrapText="1"/>
    </xf>
    <xf numFmtId="0" fontId="94" fillId="0" borderId="3" xfId="0" applyFont="1" applyFill="1" applyBorder="1" applyAlignment="1">
      <alignment horizontal="center" vertical="center"/>
    </xf>
    <xf numFmtId="0" fontId="93" fillId="0" borderId="17" xfId="0" applyFont="1" applyFill="1" applyBorder="1" applyAlignment="1">
      <alignment horizontal="center" vertical="center" wrapText="1"/>
    </xf>
    <xf numFmtId="0" fontId="95" fillId="0" borderId="3" xfId="0" applyFont="1" applyFill="1" applyBorder="1" applyAlignment="1">
      <alignment horizontal="center" vertical="center"/>
    </xf>
    <xf numFmtId="0" fontId="93" fillId="0" borderId="3" xfId="0" applyFont="1" applyFill="1" applyBorder="1" applyAlignment="1">
      <alignment horizontal="center"/>
    </xf>
    <xf numFmtId="0" fontId="75" fillId="0" borderId="0" xfId="0" applyFont="1" applyFill="1" applyBorder="1" applyAlignment="1">
      <alignment horizontal="center" vertical="center"/>
    </xf>
    <xf numFmtId="0" fontId="72" fillId="0" borderId="15" xfId="0" applyFont="1" applyFill="1" applyBorder="1" applyAlignment="1">
      <alignment vertical="center" wrapText="1"/>
    </xf>
    <xf numFmtId="181" fontId="79" fillId="0" borderId="3" xfId="0" applyNumberFormat="1" applyFont="1" applyFill="1" applyBorder="1" applyAlignment="1">
      <alignment horizontal="right" vertical="center" wrapText="1"/>
    </xf>
    <xf numFmtId="181" fontId="72" fillId="0" borderId="3" xfId="0" applyNumberFormat="1" applyFont="1" applyFill="1" applyBorder="1" applyAlignment="1">
      <alignment horizontal="right" vertical="center"/>
    </xf>
    <xf numFmtId="181" fontId="72" fillId="0" borderId="3" xfId="0" applyNumberFormat="1" applyFont="1" applyFill="1" applyBorder="1" applyAlignment="1">
      <alignment horizontal="right" vertical="center" wrapText="1" shrinkToFit="1"/>
    </xf>
    <xf numFmtId="0" fontId="96" fillId="0" borderId="17" xfId="0" applyFont="1" applyFill="1" applyBorder="1" applyAlignment="1">
      <alignment horizontal="center" vertical="center" wrapText="1"/>
    </xf>
    <xf numFmtId="0" fontId="65" fillId="32" borderId="0" xfId="0" applyFont="1" applyFill="1" applyBorder="1" applyAlignment="1">
      <alignment horizontal="center" vertical="center"/>
    </xf>
    <xf numFmtId="0" fontId="62" fillId="33" borderId="0" xfId="0" applyFont="1" applyFill="1" applyBorder="1" applyAlignment="1">
      <alignment vertical="center"/>
    </xf>
    <xf numFmtId="0" fontId="62" fillId="32" borderId="0" xfId="0" applyFont="1" applyFill="1" applyBorder="1" applyAlignment="1">
      <alignment horizontal="center" vertical="center"/>
    </xf>
    <xf numFmtId="0" fontId="70" fillId="0" borderId="15" xfId="0" applyFont="1" applyFill="1" applyBorder="1" applyAlignment="1">
      <alignment horizontal="center" vertical="center" wrapText="1"/>
    </xf>
    <xf numFmtId="170" fontId="74" fillId="0" borderId="0" xfId="0" applyNumberFormat="1" applyFont="1" applyFill="1" applyBorder="1" applyAlignment="1">
      <alignment horizontal="center" vertical="center" wrapText="1"/>
    </xf>
    <xf numFmtId="170" fontId="65" fillId="0" borderId="17" xfId="0" applyNumberFormat="1" applyFont="1" applyFill="1" applyBorder="1" applyAlignment="1">
      <alignment horizontal="center" vertical="center" wrapText="1"/>
    </xf>
    <xf numFmtId="170" fontId="65" fillId="0" borderId="3" xfId="0" applyNumberFormat="1" applyFont="1" applyFill="1" applyBorder="1" applyAlignment="1">
      <alignment horizontal="center" vertical="center" wrapText="1"/>
    </xf>
    <xf numFmtId="170" fontId="79" fillId="0" borderId="3" xfId="0" applyNumberFormat="1" applyFont="1" applyFill="1" applyBorder="1" applyAlignment="1">
      <alignment horizontal="center" vertical="center" wrapText="1"/>
    </xf>
    <xf numFmtId="170" fontId="72" fillId="0" borderId="3" xfId="0" applyNumberFormat="1" applyFont="1" applyFill="1" applyBorder="1" applyAlignment="1">
      <alignment horizontal="center" vertical="center" wrapText="1"/>
    </xf>
    <xf numFmtId="170" fontId="81" fillId="0" borderId="3" xfId="0" applyNumberFormat="1" applyFont="1" applyFill="1" applyBorder="1" applyAlignment="1">
      <alignment horizontal="center" vertical="center" wrapText="1"/>
    </xf>
    <xf numFmtId="170" fontId="72" fillId="0" borderId="13" xfId="0" applyNumberFormat="1" applyFont="1" applyFill="1" applyBorder="1" applyAlignment="1">
      <alignment horizontal="center" vertical="center"/>
    </xf>
    <xf numFmtId="170" fontId="74" fillId="0" borderId="13" xfId="0" applyNumberFormat="1" applyFont="1" applyFill="1" applyBorder="1" applyAlignment="1">
      <alignment horizontal="center" vertical="center"/>
    </xf>
    <xf numFmtId="170" fontId="72" fillId="0" borderId="0" xfId="0" applyNumberFormat="1" applyFont="1" applyFill="1" applyBorder="1" applyAlignment="1">
      <alignment horizontal="center" vertical="center"/>
    </xf>
    <xf numFmtId="170" fontId="74" fillId="0" borderId="3" xfId="0" applyNumberFormat="1" applyFont="1" applyFill="1" applyBorder="1" applyAlignment="1">
      <alignment horizontal="center" vertical="center" wrapText="1"/>
    </xf>
    <xf numFmtId="0" fontId="79" fillId="29" borderId="3" xfId="0" applyFont="1" applyFill="1" applyBorder="1" applyAlignment="1">
      <alignment horizontal="left" vertical="center" wrapText="1"/>
    </xf>
    <xf numFmtId="0" fontId="79" fillId="29" borderId="3" xfId="0" applyFont="1" applyFill="1" applyBorder="1" applyAlignment="1">
      <alignment vertical="center" wrapText="1"/>
    </xf>
    <xf numFmtId="170" fontId="70" fillId="0" borderId="3" xfId="0" applyNumberFormat="1" applyFont="1" applyFill="1" applyBorder="1" applyAlignment="1">
      <alignment horizontal="center" vertical="center" wrapText="1"/>
    </xf>
    <xf numFmtId="0" fontId="65" fillId="0" borderId="0" xfId="0" applyFont="1" applyFill="1" applyAlignment="1">
      <alignment horizontal="center" vertical="center" wrapText="1"/>
    </xf>
    <xf numFmtId="4" fontId="65" fillId="0" borderId="3" xfId="0" applyNumberFormat="1" applyFont="1" applyFill="1" applyBorder="1" applyAlignment="1">
      <alignment wrapText="1"/>
    </xf>
    <xf numFmtId="4" fontId="70" fillId="0" borderId="3" xfId="0" applyNumberFormat="1" applyFont="1" applyFill="1" applyBorder="1" applyAlignment="1">
      <alignment wrapText="1"/>
    </xf>
    <xf numFmtId="178" fontId="87" fillId="31" borderId="3" xfId="0" applyNumberFormat="1" applyFont="1" applyFill="1" applyBorder="1" applyAlignment="1">
      <alignment horizontal="center" vertical="center"/>
    </xf>
    <xf numFmtId="178" fontId="87" fillId="0" borderId="3" xfId="0" applyNumberFormat="1" applyFont="1" applyFill="1" applyBorder="1" applyAlignment="1">
      <alignment horizontal="center" vertical="center"/>
    </xf>
    <xf numFmtId="178" fontId="87" fillId="0" borderId="3" xfId="0" applyNumberFormat="1" applyFont="1" applyFill="1" applyBorder="1" applyAlignment="1">
      <alignment horizontal="center" vertical="center" wrapText="1"/>
    </xf>
    <xf numFmtId="178" fontId="80" fillId="0" borderId="3" xfId="0" applyNumberFormat="1" applyFont="1" applyFill="1" applyBorder="1" applyAlignment="1">
      <alignment horizontal="center" vertical="center"/>
    </xf>
    <xf numFmtId="1" fontId="65" fillId="0" borderId="3" xfId="0" applyNumberFormat="1" applyFont="1" applyFill="1" applyBorder="1" applyAlignment="1">
      <alignment horizontal="center" vertical="center" wrapText="1"/>
    </xf>
    <xf numFmtId="0" fontId="65" fillId="0" borderId="3" xfId="0" applyFont="1" applyFill="1" applyBorder="1" applyAlignment="1">
      <alignment horizontal="center" vertical="center"/>
    </xf>
    <xf numFmtId="0" fontId="72" fillId="0" borderId="15" xfId="0" applyFont="1" applyFill="1" applyBorder="1" applyAlignment="1">
      <alignment horizontal="center" vertical="center" wrapText="1"/>
    </xf>
    <xf numFmtId="0" fontId="72" fillId="0" borderId="18" xfId="0" applyFont="1" applyFill="1" applyBorder="1" applyAlignment="1">
      <alignment horizontal="center" vertical="center"/>
    </xf>
    <xf numFmtId="0" fontId="73" fillId="0" borderId="0" xfId="0" applyFont="1" applyFill="1" applyBorder="1" applyAlignment="1">
      <alignment horizontal="center" vertical="center"/>
    </xf>
    <xf numFmtId="0" fontId="73" fillId="0" borderId="3" xfId="0" applyFont="1" applyFill="1" applyBorder="1" applyAlignment="1">
      <alignment horizontal="center" vertical="center" wrapText="1"/>
    </xf>
    <xf numFmtId="0" fontId="71" fillId="0" borderId="3" xfId="0" applyFont="1" applyFill="1" applyBorder="1" applyAlignment="1">
      <alignment horizontal="center" vertical="center" wrapText="1"/>
    </xf>
    <xf numFmtId="0" fontId="74" fillId="0" borderId="16" xfId="0" applyFont="1" applyFill="1" applyBorder="1" applyAlignment="1">
      <alignment horizontal="left" vertical="center" wrapText="1"/>
    </xf>
    <xf numFmtId="0" fontId="70" fillId="0" borderId="0" xfId="0" applyFont="1" applyFill="1" applyBorder="1" applyAlignment="1">
      <alignment horizontal="center" vertical="center" wrapText="1"/>
    </xf>
    <xf numFmtId="0" fontId="63" fillId="0" borderId="0" xfId="0" applyFont="1" applyFill="1" applyBorder="1" applyAlignment="1">
      <alignment horizontal="center" vertical="center" wrapText="1"/>
    </xf>
    <xf numFmtId="0" fontId="65" fillId="0" borderId="0" xfId="0" applyFont="1" applyFill="1" applyBorder="1" applyAlignment="1">
      <alignment horizontal="center" vertical="center" wrapText="1"/>
    </xf>
    <xf numFmtId="0" fontId="65" fillId="0" borderId="0" xfId="0" applyFont="1" applyFill="1" applyBorder="1" applyAlignment="1">
      <alignment horizontal="center" vertical="center"/>
    </xf>
    <xf numFmtId="0" fontId="70" fillId="0" borderId="17" xfId="0" applyFont="1" applyFill="1" applyBorder="1" applyAlignment="1">
      <alignment horizontal="center" vertical="center" wrapText="1"/>
    </xf>
    <xf numFmtId="0" fontId="79" fillId="0" borderId="0" xfId="0" applyFont="1" applyFill="1" applyAlignment="1">
      <alignment horizontal="center" vertical="center"/>
    </xf>
    <xf numFmtId="177" fontId="78" fillId="0" borderId="3" xfId="0" applyNumberFormat="1" applyFont="1" applyFill="1" applyBorder="1" applyAlignment="1">
      <alignment horizontal="center" vertical="center" wrapText="1"/>
    </xf>
    <xf numFmtId="177" fontId="71" fillId="0" borderId="3" xfId="0" applyNumberFormat="1" applyFont="1" applyFill="1" applyBorder="1" applyAlignment="1">
      <alignment horizontal="right" vertical="center" wrapText="1"/>
    </xf>
    <xf numFmtId="179" fontId="74" fillId="0" borderId="3" xfId="0" applyNumberFormat="1" applyFont="1" applyFill="1" applyBorder="1" applyAlignment="1">
      <alignment horizontal="right" vertical="center" wrapText="1"/>
    </xf>
    <xf numFmtId="178" fontId="72" fillId="0" borderId="3" xfId="0" applyNumberFormat="1" applyFont="1" applyFill="1" applyBorder="1" applyAlignment="1">
      <alignment horizontal="left" vertical="center" wrapText="1"/>
    </xf>
    <xf numFmtId="170" fontId="74" fillId="0" borderId="3" xfId="0" applyNumberFormat="1" applyFont="1" applyFill="1" applyBorder="1" applyAlignment="1">
      <alignment horizontal="right" vertical="center" wrapText="1" shrinkToFit="1"/>
    </xf>
    <xf numFmtId="178" fontId="91" fillId="0" borderId="3" xfId="0" applyNumberFormat="1" applyFont="1" applyFill="1" applyBorder="1" applyAlignment="1">
      <alignment horizontal="right" vertical="center" wrapText="1"/>
    </xf>
    <xf numFmtId="178" fontId="81" fillId="0" borderId="3" xfId="0" applyNumberFormat="1" applyFont="1" applyFill="1" applyBorder="1" applyAlignment="1">
      <alignment horizontal="right" vertical="center" wrapText="1"/>
    </xf>
    <xf numFmtId="178" fontId="85" fillId="0" borderId="3" xfId="0" applyNumberFormat="1" applyFont="1" applyFill="1" applyBorder="1" applyAlignment="1">
      <alignment horizontal="right" vertical="center" wrapText="1"/>
    </xf>
    <xf numFmtId="178" fontId="72" fillId="0" borderId="3" xfId="0" applyNumberFormat="1" applyFont="1" applyFill="1" applyBorder="1" applyAlignment="1">
      <alignment horizontal="right" vertical="center" wrapText="1" shrinkToFit="1"/>
    </xf>
    <xf numFmtId="178" fontId="81" fillId="0" borderId="3" xfId="0" applyNumberFormat="1" applyFont="1" applyFill="1" applyBorder="1" applyAlignment="1">
      <alignment horizontal="right" vertical="center" wrapText="1" shrinkToFit="1"/>
    </xf>
    <xf numFmtId="178" fontId="64" fillId="0" borderId="3" xfId="0" applyNumberFormat="1" applyFont="1" applyFill="1" applyBorder="1" applyAlignment="1">
      <alignment horizontal="right" vertical="center" wrapText="1"/>
    </xf>
    <xf numFmtId="178" fontId="65" fillId="0" borderId="3" xfId="0" applyNumberFormat="1" applyFont="1" applyFill="1" applyBorder="1" applyAlignment="1">
      <alignment horizontal="right" vertical="center" wrapText="1"/>
    </xf>
    <xf numFmtId="178" fontId="63" fillId="0" borderId="3" xfId="0" applyNumberFormat="1" applyFont="1" applyFill="1" applyBorder="1" applyAlignment="1">
      <alignment vertical="center" wrapText="1"/>
    </xf>
    <xf numFmtId="178" fontId="63" fillId="0" borderId="3" xfId="0" applyNumberFormat="1" applyFont="1" applyFill="1" applyBorder="1" applyAlignment="1">
      <alignment horizontal="right" vertical="center" wrapText="1"/>
    </xf>
    <xf numFmtId="178" fontId="83" fillId="0" borderId="3" xfId="0" applyNumberFormat="1" applyFont="1" applyFill="1" applyBorder="1" applyAlignment="1">
      <alignment horizontal="right" vertical="center" wrapText="1"/>
    </xf>
    <xf numFmtId="178" fontId="64" fillId="0" borderId="3" xfId="0" applyNumberFormat="1" applyFont="1" applyFill="1" applyBorder="1" applyAlignment="1">
      <alignment vertical="center" wrapText="1"/>
    </xf>
    <xf numFmtId="178" fontId="65" fillId="0" borderId="3" xfId="0" applyNumberFormat="1" applyFont="1" applyFill="1" applyBorder="1" applyAlignment="1">
      <alignment vertical="center" wrapText="1"/>
    </xf>
    <xf numFmtId="178" fontId="85" fillId="0" borderId="15" xfId="0" applyNumberFormat="1" applyFont="1" applyFill="1" applyBorder="1" applyAlignment="1">
      <alignment horizontal="right" vertical="center" wrapText="1"/>
    </xf>
    <xf numFmtId="170" fontId="65" fillId="0" borderId="0" xfId="0" applyNumberFormat="1" applyFont="1" applyFill="1" applyBorder="1" applyAlignment="1">
      <alignment horizontal="left" wrapText="1"/>
    </xf>
    <xf numFmtId="0" fontId="65" fillId="0" borderId="0" xfId="0" applyFont="1" applyFill="1" applyBorder="1" applyAlignment="1">
      <alignment horizontal="left" vertical="center" wrapText="1"/>
    </xf>
    <xf numFmtId="169" fontId="74" fillId="0" borderId="3" xfId="0" applyNumberFormat="1" applyFont="1" applyFill="1" applyBorder="1" applyAlignment="1">
      <alignment vertical="center" wrapText="1"/>
    </xf>
    <xf numFmtId="169" fontId="81" fillId="0" borderId="3" xfId="0" applyNumberFormat="1" applyFont="1" applyFill="1" applyBorder="1" applyAlignment="1">
      <alignment vertical="center" wrapText="1"/>
    </xf>
    <xf numFmtId="178" fontId="81" fillId="0" borderId="3" xfId="0" applyNumberFormat="1" applyFont="1" applyFill="1" applyBorder="1" applyAlignment="1">
      <alignment horizontal="center" vertical="center" wrapText="1"/>
    </xf>
    <xf numFmtId="178" fontId="70" fillId="0" borderId="3" xfId="0" applyNumberFormat="1" applyFont="1" applyFill="1" applyBorder="1" applyAlignment="1">
      <alignment horizontal="center" vertical="center"/>
    </xf>
    <xf numFmtId="170" fontId="70" fillId="0" borderId="3" xfId="0" applyNumberFormat="1" applyFont="1" applyFill="1" applyBorder="1" applyAlignment="1">
      <alignment horizontal="center" vertical="center"/>
    </xf>
    <xf numFmtId="170" fontId="70" fillId="0" borderId="3" xfId="0" applyNumberFormat="1" applyFont="1" applyBorder="1" applyAlignment="1">
      <alignment horizontal="center" vertical="center"/>
    </xf>
    <xf numFmtId="170" fontId="65" fillId="0" borderId="3" xfId="0" applyNumberFormat="1" applyFont="1" applyFill="1" applyBorder="1" applyAlignment="1">
      <alignment horizontal="center" vertical="center"/>
    </xf>
    <xf numFmtId="0" fontId="79" fillId="0" borderId="3" xfId="272" applyFont="1" applyFill="1" applyBorder="1" applyAlignment="1">
      <alignment horizontal="left" vertical="center" wrapText="1"/>
    </xf>
    <xf numFmtId="4" fontId="72" fillId="0" borderId="3" xfId="0" applyNumberFormat="1" applyFont="1" applyFill="1" applyBorder="1" applyAlignment="1">
      <alignment horizontal="left" vertical="center" wrapText="1"/>
    </xf>
    <xf numFmtId="170" fontId="63" fillId="0" borderId="3" xfId="0" applyNumberFormat="1" applyFont="1" applyFill="1" applyBorder="1" applyAlignment="1">
      <alignment horizontal="center" vertical="center"/>
    </xf>
    <xf numFmtId="0" fontId="73" fillId="0" borderId="0" xfId="0" applyFont="1" applyFill="1" applyBorder="1" applyAlignment="1">
      <alignment horizontal="center" vertical="center"/>
    </xf>
    <xf numFmtId="0" fontId="73" fillId="0" borderId="0" xfId="0" applyFont="1" applyFill="1" applyAlignment="1">
      <alignment horizontal="center" vertical="center"/>
    </xf>
    <xf numFmtId="170" fontId="73" fillId="0" borderId="0" xfId="0" applyNumberFormat="1" applyFont="1" applyFill="1" applyBorder="1" applyAlignment="1">
      <alignment horizontal="center" wrapText="1"/>
    </xf>
    <xf numFmtId="170" fontId="73" fillId="0" borderId="0" xfId="0" quotePrefix="1" applyNumberFormat="1" applyFont="1" applyFill="1" applyBorder="1" applyAlignment="1">
      <alignment horizontal="center" wrapText="1"/>
    </xf>
    <xf numFmtId="0" fontId="71" fillId="0" borderId="13" xfId="0" applyFont="1" applyFill="1" applyBorder="1" applyAlignment="1">
      <alignment horizontal="center"/>
    </xf>
    <xf numFmtId="0" fontId="78" fillId="0" borderId="15" xfId="0" applyFont="1" applyFill="1" applyBorder="1" applyAlignment="1">
      <alignment horizontal="center" vertical="center"/>
    </xf>
    <xf numFmtId="0" fontId="78" fillId="0" borderId="14" xfId="0" applyFont="1" applyFill="1" applyBorder="1" applyAlignment="1">
      <alignment horizontal="center" vertical="center"/>
    </xf>
    <xf numFmtId="0" fontId="78" fillId="0" borderId="16" xfId="0" applyFont="1" applyFill="1" applyBorder="1" applyAlignment="1">
      <alignment horizontal="center" vertical="center"/>
    </xf>
    <xf numFmtId="0" fontId="73" fillId="0" borderId="15" xfId="0" applyFont="1" applyFill="1" applyBorder="1" applyAlignment="1">
      <alignment horizontal="center" vertical="center" wrapText="1"/>
    </xf>
    <xf numFmtId="0" fontId="73" fillId="0" borderId="16" xfId="0" applyFont="1" applyFill="1" applyBorder="1" applyAlignment="1">
      <alignment horizontal="center" vertical="center" wrapText="1"/>
    </xf>
    <xf numFmtId="0" fontId="73" fillId="0" borderId="17" xfId="0" applyFont="1" applyFill="1" applyBorder="1" applyAlignment="1">
      <alignment horizontal="center" vertical="center" wrapText="1"/>
    </xf>
    <xf numFmtId="0" fontId="73" fillId="0" borderId="18" xfId="0" applyFont="1" applyFill="1" applyBorder="1" applyAlignment="1">
      <alignment horizontal="center" vertical="center" wrapText="1"/>
    </xf>
    <xf numFmtId="0" fontId="73" fillId="0" borderId="22" xfId="0" applyFont="1" applyFill="1" applyBorder="1" applyAlignment="1">
      <alignment horizontal="center" vertical="center" wrapText="1"/>
    </xf>
    <xf numFmtId="0" fontId="73" fillId="0" borderId="23" xfId="0" applyFont="1" applyFill="1" applyBorder="1" applyAlignment="1">
      <alignment horizontal="center" vertical="center" wrapText="1"/>
    </xf>
    <xf numFmtId="0" fontId="73" fillId="0" borderId="17" xfId="0" applyFont="1" applyFill="1" applyBorder="1" applyAlignment="1">
      <alignment horizontal="center" vertical="center"/>
    </xf>
    <xf numFmtId="0" fontId="73" fillId="0" borderId="18" xfId="0" applyFont="1" applyFill="1" applyBorder="1" applyAlignment="1">
      <alignment horizontal="center" vertical="center"/>
    </xf>
    <xf numFmtId="0" fontId="78" fillId="0" borderId="0" xfId="0" applyFont="1" applyFill="1" applyBorder="1" applyAlignment="1">
      <alignment horizontal="center" vertical="center"/>
    </xf>
    <xf numFmtId="0" fontId="78" fillId="0" borderId="0" xfId="0" applyFont="1" applyFill="1" applyBorder="1" applyAlignment="1">
      <alignment horizontal="center" vertical="top" wrapText="1"/>
    </xf>
    <xf numFmtId="0" fontId="78" fillId="0" borderId="0" xfId="0" applyFont="1" applyFill="1" applyBorder="1" applyAlignment="1">
      <alignment horizontal="center" vertical="top"/>
    </xf>
    <xf numFmtId="0" fontId="78" fillId="0" borderId="3" xfId="0" applyFont="1" applyFill="1" applyBorder="1" applyAlignment="1">
      <alignment horizontal="center" vertical="center"/>
    </xf>
    <xf numFmtId="0" fontId="78" fillId="0" borderId="15" xfId="0" applyFont="1" applyFill="1" applyBorder="1" applyAlignment="1" applyProtection="1">
      <alignment horizontal="center" vertical="center"/>
      <protection locked="0"/>
    </xf>
    <xf numFmtId="0" fontId="78" fillId="0" borderId="14" xfId="0" applyFont="1" applyFill="1" applyBorder="1" applyAlignment="1" applyProtection="1">
      <alignment horizontal="center" vertical="center"/>
      <protection locked="0"/>
    </xf>
    <xf numFmtId="0" fontId="78" fillId="0" borderId="16" xfId="0" applyFont="1" applyFill="1" applyBorder="1" applyAlignment="1" applyProtection="1">
      <alignment horizontal="center" vertical="center"/>
      <protection locked="0"/>
    </xf>
    <xf numFmtId="0" fontId="78" fillId="0" borderId="3" xfId="0" applyFont="1" applyFill="1" applyBorder="1" applyAlignment="1">
      <alignment horizontal="center" vertical="center" wrapText="1"/>
    </xf>
    <xf numFmtId="0" fontId="73" fillId="0" borderId="15" xfId="0" applyFont="1" applyFill="1" applyBorder="1" applyAlignment="1">
      <alignment horizontal="center" vertical="center"/>
    </xf>
    <xf numFmtId="0" fontId="73" fillId="0" borderId="14" xfId="0" applyFont="1" applyFill="1" applyBorder="1" applyAlignment="1">
      <alignment horizontal="center" vertical="center"/>
    </xf>
    <xf numFmtId="0" fontId="73" fillId="0" borderId="16" xfId="0" applyFont="1" applyFill="1" applyBorder="1" applyAlignment="1">
      <alignment horizontal="center" vertical="center"/>
    </xf>
    <xf numFmtId="0" fontId="73" fillId="0" borderId="3" xfId="0" applyFont="1" applyFill="1" applyBorder="1" applyAlignment="1">
      <alignment horizontal="center" vertical="center" wrapText="1"/>
    </xf>
    <xf numFmtId="0" fontId="71" fillId="0" borderId="3" xfId="0" applyFont="1" applyFill="1" applyBorder="1" applyAlignment="1">
      <alignment horizontal="center" vertical="center" wrapText="1"/>
    </xf>
    <xf numFmtId="0" fontId="63" fillId="0" borderId="0" xfId="0" applyFont="1" applyFill="1" applyBorder="1" applyAlignment="1">
      <alignment horizontal="center" vertical="center" wrapText="1"/>
    </xf>
    <xf numFmtId="170" fontId="77" fillId="0" borderId="13" xfId="0" applyNumberFormat="1" applyFont="1" applyFill="1" applyBorder="1" applyAlignment="1">
      <alignment horizontal="left" wrapText="1"/>
    </xf>
    <xf numFmtId="0" fontId="70" fillId="0" borderId="19" xfId="0" applyFont="1" applyFill="1" applyBorder="1" applyAlignment="1">
      <alignment horizontal="center" vertical="center" wrapText="1"/>
    </xf>
    <xf numFmtId="0" fontId="67" fillId="0" borderId="0" xfId="0" applyFont="1" applyFill="1" applyBorder="1" applyAlignment="1">
      <alignment horizontal="center" wrapText="1"/>
    </xf>
    <xf numFmtId="0" fontId="80" fillId="0" borderId="15" xfId="0" applyFont="1" applyFill="1" applyBorder="1" applyAlignment="1">
      <alignment horizontal="center" vertical="center"/>
    </xf>
    <xf numFmtId="0" fontId="80" fillId="0" borderId="16" xfId="0" applyFont="1" applyFill="1" applyBorder="1" applyAlignment="1">
      <alignment horizontal="center" vertical="center"/>
    </xf>
    <xf numFmtId="0" fontId="74" fillId="0" borderId="15" xfId="0" applyFont="1" applyFill="1" applyBorder="1" applyAlignment="1">
      <alignment horizontal="center" vertical="center"/>
    </xf>
    <xf numFmtId="0" fontId="74" fillId="0" borderId="16" xfId="0" applyFont="1" applyFill="1" applyBorder="1" applyAlignment="1">
      <alignment horizontal="center" vertical="center"/>
    </xf>
    <xf numFmtId="0" fontId="74" fillId="0" borderId="15" xfId="0" applyFont="1" applyFill="1" applyBorder="1" applyAlignment="1">
      <alignment horizontal="center" vertical="center" wrapText="1"/>
    </xf>
    <xf numFmtId="0" fontId="74" fillId="0" borderId="16" xfId="0" applyFont="1" applyFill="1" applyBorder="1" applyAlignment="1">
      <alignment horizontal="center" vertical="center" wrapText="1"/>
    </xf>
    <xf numFmtId="2" fontId="74" fillId="0" borderId="15" xfId="0" applyNumberFormat="1" applyFont="1" applyFill="1" applyBorder="1" applyAlignment="1">
      <alignment horizontal="center" vertical="center" wrapText="1"/>
    </xf>
    <xf numFmtId="2" fontId="74" fillId="0" borderId="16" xfId="0" applyNumberFormat="1" applyFont="1" applyFill="1" applyBorder="1" applyAlignment="1">
      <alignment horizontal="center" vertical="center" wrapText="1"/>
    </xf>
    <xf numFmtId="0" fontId="67" fillId="0" borderId="19" xfId="0" applyFont="1" applyFill="1" applyBorder="1" applyAlignment="1">
      <alignment horizontal="center" wrapText="1"/>
    </xf>
    <xf numFmtId="0" fontId="74" fillId="0" borderId="15" xfId="0" applyFont="1" applyFill="1" applyBorder="1" applyAlignment="1">
      <alignment horizontal="left" vertical="center" wrapText="1"/>
    </xf>
    <xf numFmtId="0" fontId="74" fillId="0" borderId="16" xfId="0" applyFont="1" applyFill="1" applyBorder="1" applyAlignment="1">
      <alignment horizontal="left" vertical="center" wrapText="1"/>
    </xf>
    <xf numFmtId="0" fontId="70" fillId="0" borderId="0" xfId="0" applyFont="1" applyFill="1" applyBorder="1" applyAlignment="1">
      <alignment horizontal="center" vertical="center" wrapText="1"/>
    </xf>
    <xf numFmtId="0" fontId="65" fillId="0" borderId="19" xfId="0" applyFont="1" applyFill="1" applyBorder="1" applyAlignment="1">
      <alignment horizontal="center" vertical="center" wrapText="1"/>
    </xf>
    <xf numFmtId="0" fontId="65" fillId="0" borderId="0" xfId="0" applyFont="1" applyFill="1" applyBorder="1" applyAlignment="1">
      <alignment horizontal="center" vertical="center" wrapText="1"/>
    </xf>
    <xf numFmtId="0" fontId="65" fillId="0" borderId="19" xfId="0" applyFont="1" applyFill="1" applyBorder="1" applyAlignment="1">
      <alignment horizontal="center" vertical="center"/>
    </xf>
    <xf numFmtId="0" fontId="65" fillId="0" borderId="0" xfId="0" applyFont="1" applyFill="1" applyBorder="1" applyAlignment="1">
      <alignment horizontal="center" vertical="center"/>
    </xf>
    <xf numFmtId="0" fontId="70" fillId="0" borderId="0" xfId="0" applyFont="1" applyFill="1" applyBorder="1" applyAlignment="1">
      <alignment horizontal="center" vertical="center"/>
    </xf>
    <xf numFmtId="0" fontId="68" fillId="0" borderId="0" xfId="0" applyFont="1" applyFill="1" applyAlignment="1">
      <alignment vertical="center" wrapText="1"/>
    </xf>
    <xf numFmtId="0" fontId="69" fillId="0" borderId="0" xfId="0" applyFont="1" applyAlignment="1">
      <alignment vertical="center" wrapText="1"/>
    </xf>
    <xf numFmtId="0" fontId="70" fillId="0" borderId="17" xfId="0" applyFont="1" applyFill="1" applyBorder="1" applyAlignment="1">
      <alignment horizontal="center" vertical="center" wrapText="1"/>
    </xf>
    <xf numFmtId="0" fontId="70" fillId="0" borderId="18" xfId="0" applyFont="1" applyFill="1" applyBorder="1" applyAlignment="1">
      <alignment horizontal="center" vertical="center" wrapText="1"/>
    </xf>
    <xf numFmtId="0" fontId="70" fillId="0" borderId="15" xfId="0" applyFont="1" applyFill="1" applyBorder="1" applyAlignment="1">
      <alignment horizontal="center" vertical="center" wrapText="1"/>
    </xf>
    <xf numFmtId="0" fontId="70" fillId="0" borderId="14" xfId="0" applyFont="1" applyFill="1" applyBorder="1" applyAlignment="1">
      <alignment horizontal="center" vertical="center" wrapText="1"/>
    </xf>
    <xf numFmtId="0" fontId="70" fillId="0" borderId="16" xfId="0" applyFont="1" applyFill="1" applyBorder="1" applyAlignment="1">
      <alignment horizontal="center" vertical="center" wrapText="1"/>
    </xf>
    <xf numFmtId="3" fontId="63" fillId="0" borderId="3" xfId="0" applyNumberFormat="1" applyFont="1" applyFill="1" applyBorder="1" applyAlignment="1">
      <alignment horizontal="left" vertical="center" wrapText="1"/>
    </xf>
    <xf numFmtId="0" fontId="70" fillId="0" borderId="20" xfId="0" applyFont="1" applyFill="1" applyBorder="1" applyAlignment="1">
      <alignment horizontal="center" vertical="center" wrapText="1"/>
    </xf>
    <xf numFmtId="0" fontId="70" fillId="0" borderId="21" xfId="0" applyFont="1" applyFill="1" applyBorder="1" applyAlignment="1">
      <alignment horizontal="center" vertical="center" wrapText="1"/>
    </xf>
    <xf numFmtId="0" fontId="88" fillId="0" borderId="0" xfId="0" applyFont="1" applyFill="1" applyBorder="1" applyAlignment="1">
      <alignment horizontal="center" wrapText="1"/>
    </xf>
    <xf numFmtId="0" fontId="88" fillId="0" borderId="0" xfId="0" applyFont="1" applyFill="1" applyBorder="1" applyAlignment="1">
      <alignment horizontal="right"/>
    </xf>
  </cellXfs>
  <cellStyles count="354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rmal_GSE DCF_Model_31_07_09 final" xfId="182"/>
    <cellStyle name="Note" xfId="183"/>
    <cellStyle name="Number-Cells" xfId="184"/>
    <cellStyle name="Number-Cells-Column2" xfId="185"/>
    <cellStyle name="Number-Cells-Column5" xfId="186"/>
    <cellStyle name="Output" xfId="187"/>
    <cellStyle name="Row-Header" xfId="188"/>
    <cellStyle name="Row-Header 2" xfId="189"/>
    <cellStyle name="Title" xfId="190"/>
    <cellStyle name="Total" xfId="191"/>
    <cellStyle name="Warning Text" xfId="192"/>
    <cellStyle name="Акцент1 2" xfId="193"/>
    <cellStyle name="Акцент1 3" xfId="194"/>
    <cellStyle name="Акцент2 2" xfId="195"/>
    <cellStyle name="Акцент2 3" xfId="196"/>
    <cellStyle name="Акцент3 2" xfId="197"/>
    <cellStyle name="Акцент3 3" xfId="198"/>
    <cellStyle name="Акцент4 2" xfId="199"/>
    <cellStyle name="Акцент4 3" xfId="200"/>
    <cellStyle name="Акцент5 2" xfId="201"/>
    <cellStyle name="Акцент5 3" xfId="202"/>
    <cellStyle name="Акцент6 2" xfId="203"/>
    <cellStyle name="Акцент6 3" xfId="204"/>
    <cellStyle name="Ввод  2" xfId="205"/>
    <cellStyle name="Ввод  3" xfId="206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Обычный_1139" xfId="353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 2" xfId="323"/>
    <cellStyle name="Финансовый 2 10" xfId="324"/>
    <cellStyle name="Финансовый 2 11" xfId="325"/>
    <cellStyle name="Финансовый 2 12" xfId="326"/>
    <cellStyle name="Финансовый 2 13" xfId="327"/>
    <cellStyle name="Финансовый 2 14" xfId="328"/>
    <cellStyle name="Финансовый 2 15" xfId="329"/>
    <cellStyle name="Финансовый 2 16" xfId="330"/>
    <cellStyle name="Финансовый 2 17" xfId="331"/>
    <cellStyle name="Финансовый 2 2" xfId="332"/>
    <cellStyle name="Финансовый 2 3" xfId="333"/>
    <cellStyle name="Финансовый 2 4" xfId="334"/>
    <cellStyle name="Финансовый 2 5" xfId="335"/>
    <cellStyle name="Финансовый 2 6" xfId="336"/>
    <cellStyle name="Финансовый 2 7" xfId="337"/>
    <cellStyle name="Финансовый 2 8" xfId="338"/>
    <cellStyle name="Финансовый 2 9" xfId="339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0"/>
    <cellStyle name="Ю" xfId="351"/>
    <cellStyle name="Ю-FreeSet_10" xfId="352"/>
  </cellStyles>
  <dxfs count="0"/>
  <tableStyles count="0" defaultTableStyle="TableStyleMedium2" defaultPivotStyle="PivotStyleLight16"/>
  <colors>
    <mruColors>
      <color rgb="FFCCFFCC"/>
      <color rgb="FFFFFFCC"/>
      <color rgb="FFFF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externalLink" Target="externalLinks/externalLink3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42" Type="http://schemas.openxmlformats.org/officeDocument/2006/relationships/styles" Target="styles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4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externalLink" Target="externalLinks/externalLink3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externalLink" Target="externalLinks/externalLink26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i"/>
      <sheetName val="Setup"/>
      <sheetName val="200"/>
      <sheetName val="1993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  <sheetName val="1993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рік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993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J249"/>
  <sheetViews>
    <sheetView view="pageBreakPreview" zoomScaleNormal="75" zoomScaleSheetLayoutView="100" workbookViewId="0">
      <selection activeCell="A11" sqref="A11"/>
    </sheetView>
  </sheetViews>
  <sheetFormatPr defaultRowHeight="20.25"/>
  <cols>
    <col min="1" max="1" width="58.42578125" style="1" customWidth="1"/>
    <col min="2" max="2" width="8.28515625" style="112" customWidth="1"/>
    <col min="3" max="3" width="15.85546875" style="180" customWidth="1"/>
    <col min="4" max="4" width="16.140625" style="112" customWidth="1"/>
    <col min="5" max="5" width="16.140625" style="179" customWidth="1"/>
    <col min="6" max="6" width="16.5703125" style="1" customWidth="1"/>
    <col min="7" max="7" width="15.140625" style="1" customWidth="1"/>
    <col min="8" max="8" width="14.42578125" style="1" customWidth="1"/>
    <col min="9" max="9" width="15.85546875" style="1" customWidth="1"/>
    <col min="10" max="16384" width="9.140625" style="1"/>
  </cols>
  <sheetData>
    <row r="1" spans="1:8" ht="93.75" customHeight="1">
      <c r="A1" s="263" t="s">
        <v>330</v>
      </c>
      <c r="B1" s="264"/>
      <c r="C1" s="264"/>
      <c r="D1" s="264"/>
      <c r="E1" s="264"/>
      <c r="F1" s="264"/>
      <c r="G1" s="264"/>
      <c r="H1" s="264"/>
    </row>
    <row r="2" spans="1:8" ht="24" customHeight="1">
      <c r="A2" s="262" t="s">
        <v>15</v>
      </c>
      <c r="B2" s="262"/>
      <c r="C2" s="262"/>
      <c r="D2" s="262"/>
      <c r="E2" s="262"/>
      <c r="F2" s="262"/>
      <c r="G2" s="262"/>
      <c r="H2" s="262"/>
    </row>
    <row r="3" spans="1:8" s="18" customFormat="1" ht="16.5" customHeight="1">
      <c r="A3" s="128"/>
      <c r="B3" s="129"/>
      <c r="C3" s="215"/>
      <c r="D3" s="129"/>
      <c r="E3" s="129"/>
      <c r="F3" s="129"/>
      <c r="G3" s="129"/>
      <c r="H3" s="130" t="s">
        <v>51</v>
      </c>
    </row>
    <row r="4" spans="1:8" ht="60.75" customHeight="1">
      <c r="A4" s="260" t="s">
        <v>20</v>
      </c>
      <c r="B4" s="256" t="s">
        <v>4</v>
      </c>
      <c r="C4" s="273" t="s">
        <v>104</v>
      </c>
      <c r="D4" s="273"/>
      <c r="E4" s="270" t="s">
        <v>329</v>
      </c>
      <c r="F4" s="271"/>
      <c r="G4" s="271"/>
      <c r="H4" s="272"/>
    </row>
    <row r="5" spans="1:8" ht="46.5" customHeight="1">
      <c r="A5" s="261"/>
      <c r="B5" s="257"/>
      <c r="C5" s="10" t="s">
        <v>324</v>
      </c>
      <c r="D5" s="10" t="s">
        <v>328</v>
      </c>
      <c r="E5" s="131" t="s">
        <v>169</v>
      </c>
      <c r="F5" s="131" t="s">
        <v>93</v>
      </c>
      <c r="G5" s="131" t="s">
        <v>94</v>
      </c>
      <c r="H5" s="131" t="s">
        <v>95</v>
      </c>
    </row>
    <row r="6" spans="1:8" s="18" customFormat="1" ht="12.75" customHeight="1">
      <c r="A6" s="132">
        <v>1</v>
      </c>
      <c r="B6" s="133">
        <v>2</v>
      </c>
      <c r="C6" s="133">
        <v>3</v>
      </c>
      <c r="D6" s="133">
        <v>4</v>
      </c>
      <c r="E6" s="133">
        <v>5</v>
      </c>
      <c r="F6" s="133">
        <v>6</v>
      </c>
      <c r="G6" s="133">
        <v>7</v>
      </c>
      <c r="H6" s="134">
        <v>8</v>
      </c>
    </row>
    <row r="7" spans="1:8" ht="23.25" customHeight="1">
      <c r="A7" s="269" t="s">
        <v>82</v>
      </c>
      <c r="B7" s="269"/>
      <c r="C7" s="269"/>
      <c r="D7" s="269"/>
      <c r="E7" s="269"/>
      <c r="F7" s="269"/>
      <c r="G7" s="269"/>
      <c r="H7" s="269"/>
    </row>
    <row r="8" spans="1:8" ht="39.75" customHeight="1">
      <c r="A8" s="135" t="s">
        <v>278</v>
      </c>
      <c r="B8" s="136">
        <v>1000</v>
      </c>
      <c r="C8" s="137">
        <v>64300.3</v>
      </c>
      <c r="D8" s="83">
        <v>120590.9</v>
      </c>
      <c r="E8" s="83">
        <v>93902</v>
      </c>
      <c r="F8" s="83">
        <v>120590.9</v>
      </c>
      <c r="G8" s="137">
        <f>F8-E8</f>
        <v>26688.899999999994</v>
      </c>
      <c r="H8" s="137">
        <f>(F8/E8)*100</f>
        <v>128.42207833698961</v>
      </c>
    </row>
    <row r="9" spans="1:8" ht="56.25" customHeight="1">
      <c r="A9" s="135" t="s">
        <v>60</v>
      </c>
      <c r="B9" s="136">
        <v>1010</v>
      </c>
      <c r="C9" s="137">
        <f>SUM(C10:C14)</f>
        <v>-73920.800000000003</v>
      </c>
      <c r="D9" s="137">
        <f t="shared" ref="D9" si="0">SUM(D10:D14)</f>
        <v>-123679.90000000001</v>
      </c>
      <c r="E9" s="137">
        <f t="shared" ref="E9" si="1">SUM(E10:E14)</f>
        <v>-93974.599999999991</v>
      </c>
      <c r="F9" s="137">
        <f>SUM(F10:F14)</f>
        <v>-123679.90000000001</v>
      </c>
      <c r="G9" s="137">
        <f t="shared" ref="G9:G43" si="2">F9-E9</f>
        <v>-29705.300000000017</v>
      </c>
      <c r="H9" s="137">
        <f t="shared" ref="H9:H43" si="3">(F9/E9)*100</f>
        <v>131.60992438382289</v>
      </c>
    </row>
    <row r="10" spans="1:8" ht="21.95" customHeight="1">
      <c r="A10" s="138" t="s">
        <v>61</v>
      </c>
      <c r="B10" s="139">
        <v>1011</v>
      </c>
      <c r="C10" s="30">
        <v>-21344</v>
      </c>
      <c r="D10" s="30">
        <v>-32418.1</v>
      </c>
      <c r="E10" s="30">
        <v>-24848.7</v>
      </c>
      <c r="F10" s="30">
        <v>-32418.1</v>
      </c>
      <c r="G10" s="31">
        <f t="shared" si="2"/>
        <v>-7569.3999999999978</v>
      </c>
      <c r="H10" s="31">
        <f t="shared" si="3"/>
        <v>130.46195575623673</v>
      </c>
    </row>
    <row r="11" spans="1:8" ht="21.95" customHeight="1">
      <c r="A11" s="138" t="s">
        <v>1</v>
      </c>
      <c r="B11" s="139">
        <v>1012</v>
      </c>
      <c r="C11" s="30">
        <v>-40742.9</v>
      </c>
      <c r="D11" s="30">
        <v>-66206.600000000006</v>
      </c>
      <c r="E11" s="30">
        <v>-52666.7</v>
      </c>
      <c r="F11" s="30">
        <v>-66206.600000000006</v>
      </c>
      <c r="G11" s="31">
        <f t="shared" si="2"/>
        <v>-13539.900000000009</v>
      </c>
      <c r="H11" s="31">
        <f t="shared" si="3"/>
        <v>125.70865461477558</v>
      </c>
    </row>
    <row r="12" spans="1:8" ht="21.95" customHeight="1">
      <c r="A12" s="138" t="s">
        <v>2</v>
      </c>
      <c r="B12" s="139">
        <v>1013</v>
      </c>
      <c r="C12" s="30">
        <v>-8986.2999999999993</v>
      </c>
      <c r="D12" s="30">
        <v>-14416.8</v>
      </c>
      <c r="E12" s="30">
        <v>-11556.2</v>
      </c>
      <c r="F12" s="30">
        <v>-14416.8</v>
      </c>
      <c r="G12" s="31">
        <f t="shared" si="2"/>
        <v>-2860.5999999999985</v>
      </c>
      <c r="H12" s="31">
        <f t="shared" si="3"/>
        <v>124.75381180664924</v>
      </c>
    </row>
    <row r="13" spans="1:8" ht="21.95" customHeight="1">
      <c r="A13" s="138" t="s">
        <v>3</v>
      </c>
      <c r="B13" s="139">
        <v>1014</v>
      </c>
      <c r="C13" s="30">
        <v>-1315.1</v>
      </c>
      <c r="D13" s="30">
        <v>-9876.4</v>
      </c>
      <c r="E13" s="30">
        <v>-4000</v>
      </c>
      <c r="F13" s="30">
        <v>-9876.4</v>
      </c>
      <c r="G13" s="31">
        <f t="shared" si="2"/>
        <v>-5876.4</v>
      </c>
      <c r="H13" s="31">
        <f t="shared" si="3"/>
        <v>246.91</v>
      </c>
    </row>
    <row r="14" spans="1:8" ht="21.95" customHeight="1">
      <c r="A14" s="138" t="s">
        <v>44</v>
      </c>
      <c r="B14" s="139">
        <v>1015</v>
      </c>
      <c r="C14" s="30">
        <v>-1532.5</v>
      </c>
      <c r="D14" s="30">
        <v>-762</v>
      </c>
      <c r="E14" s="30">
        <v>-903</v>
      </c>
      <c r="F14" s="30">
        <v>-762</v>
      </c>
      <c r="G14" s="31">
        <f t="shared" si="2"/>
        <v>141</v>
      </c>
      <c r="H14" s="31">
        <f t="shared" si="3"/>
        <v>84.385382059800662</v>
      </c>
    </row>
    <row r="15" spans="1:8" ht="22.5" customHeight="1">
      <c r="A15" s="135" t="s">
        <v>22</v>
      </c>
      <c r="B15" s="139">
        <v>1020</v>
      </c>
      <c r="C15" s="137">
        <f>SUM(C8:C9)</f>
        <v>-9620.5</v>
      </c>
      <c r="D15" s="137">
        <f t="shared" ref="D15" si="4">SUM(D8:D9)</f>
        <v>-3089.0000000000146</v>
      </c>
      <c r="E15" s="137">
        <f t="shared" ref="E15:F15" si="5">SUM(E8:E9)</f>
        <v>-72.599999999991269</v>
      </c>
      <c r="F15" s="137">
        <f t="shared" si="5"/>
        <v>-3089.0000000000146</v>
      </c>
      <c r="G15" s="137">
        <f t="shared" si="2"/>
        <v>-3016.4000000000233</v>
      </c>
      <c r="H15" s="137">
        <f t="shared" si="3"/>
        <v>4254.8209366396495</v>
      </c>
    </row>
    <row r="16" spans="1:8" ht="43.5" customHeight="1">
      <c r="A16" s="135" t="s">
        <v>75</v>
      </c>
      <c r="B16" s="136">
        <v>1020</v>
      </c>
      <c r="C16" s="137">
        <f>SUM(C17:C21)</f>
        <v>-4318.2999999999993</v>
      </c>
      <c r="D16" s="137">
        <f t="shared" ref="D16" si="6">SUM(D17:D21)</f>
        <v>-5034.4000000000005</v>
      </c>
      <c r="E16" s="137">
        <f t="shared" ref="E16:F16" si="7">SUM(E17:E21)</f>
        <v>-4608.7</v>
      </c>
      <c r="F16" s="137">
        <f t="shared" si="7"/>
        <v>-5034.4000000000005</v>
      </c>
      <c r="G16" s="137">
        <f t="shared" si="2"/>
        <v>-425.70000000000073</v>
      </c>
      <c r="H16" s="137">
        <f t="shared" si="3"/>
        <v>109.23687807841694</v>
      </c>
    </row>
    <row r="17" spans="1:8" ht="21.95" customHeight="1">
      <c r="A17" s="138" t="s">
        <v>61</v>
      </c>
      <c r="B17" s="139">
        <v>1021</v>
      </c>
      <c r="C17" s="30">
        <v>-30.6</v>
      </c>
      <c r="D17" s="30">
        <v>-17.399999999999999</v>
      </c>
      <c r="E17" s="30">
        <v>-44.5</v>
      </c>
      <c r="F17" s="30">
        <v>-17.399999999999999</v>
      </c>
      <c r="G17" s="31">
        <f t="shared" si="2"/>
        <v>27.1</v>
      </c>
      <c r="H17" s="31">
        <f t="shared" si="3"/>
        <v>39.101123595505612</v>
      </c>
    </row>
    <row r="18" spans="1:8" ht="21.95" customHeight="1">
      <c r="A18" s="138" t="s">
        <v>1</v>
      </c>
      <c r="B18" s="139">
        <v>1022</v>
      </c>
      <c r="C18" s="30">
        <v>-3199.8</v>
      </c>
      <c r="D18" s="30">
        <v>-3916.1</v>
      </c>
      <c r="E18" s="30">
        <v>-3490</v>
      </c>
      <c r="F18" s="30">
        <v>-3916.1</v>
      </c>
      <c r="G18" s="31">
        <f t="shared" si="2"/>
        <v>-426.09999999999991</v>
      </c>
      <c r="H18" s="31">
        <f t="shared" si="3"/>
        <v>112.20916905444125</v>
      </c>
    </row>
    <row r="19" spans="1:8" ht="21.95" customHeight="1">
      <c r="A19" s="138" t="s">
        <v>2</v>
      </c>
      <c r="B19" s="139">
        <v>1023</v>
      </c>
      <c r="C19" s="30">
        <v>-660.6</v>
      </c>
      <c r="D19" s="30">
        <v>-752.1</v>
      </c>
      <c r="E19" s="30">
        <v>-764.3</v>
      </c>
      <c r="F19" s="30">
        <v>-752.1</v>
      </c>
      <c r="G19" s="31">
        <f t="shared" si="2"/>
        <v>12.199999999999932</v>
      </c>
      <c r="H19" s="31">
        <f t="shared" si="3"/>
        <v>98.403768153866295</v>
      </c>
    </row>
    <row r="20" spans="1:8" ht="21.95" customHeight="1">
      <c r="A20" s="138" t="s">
        <v>3</v>
      </c>
      <c r="B20" s="139">
        <v>1024</v>
      </c>
      <c r="C20" s="30">
        <v>-265.39999999999998</v>
      </c>
      <c r="D20" s="30"/>
      <c r="E20" s="30"/>
      <c r="F20" s="30"/>
      <c r="G20" s="31">
        <f t="shared" si="2"/>
        <v>0</v>
      </c>
      <c r="H20" s="31"/>
    </row>
    <row r="21" spans="1:8" ht="38.25" customHeight="1">
      <c r="A21" s="138" t="s">
        <v>62</v>
      </c>
      <c r="B21" s="139">
        <v>1025</v>
      </c>
      <c r="C21" s="30">
        <v>-161.9</v>
      </c>
      <c r="D21" s="30">
        <v>-348.8</v>
      </c>
      <c r="E21" s="30">
        <v>-309.89999999999998</v>
      </c>
      <c r="F21" s="30">
        <v>-348.8</v>
      </c>
      <c r="G21" s="31">
        <f t="shared" si="2"/>
        <v>-38.900000000000034</v>
      </c>
      <c r="H21" s="31">
        <f t="shared" si="3"/>
        <v>112.55243626976446</v>
      </c>
    </row>
    <row r="22" spans="1:8" ht="38.25" customHeight="1">
      <c r="A22" s="135" t="s">
        <v>31</v>
      </c>
      <c r="B22" s="136">
        <v>1040</v>
      </c>
      <c r="C22" s="137">
        <f>SUM(C23:C24)</f>
        <v>12328.2</v>
      </c>
      <c r="D22" s="137">
        <f>SUM(D23:D24)</f>
        <v>15304.2</v>
      </c>
      <c r="E22" s="137">
        <f>SUM(E23:E24)</f>
        <v>12371.1</v>
      </c>
      <c r="F22" s="137">
        <f>SUM(F23:F24)</f>
        <v>15304.2</v>
      </c>
      <c r="G22" s="137">
        <f t="shared" si="2"/>
        <v>2933.1000000000004</v>
      </c>
      <c r="H22" s="137">
        <f t="shared" si="3"/>
        <v>123.70929020054805</v>
      </c>
    </row>
    <row r="23" spans="1:8" ht="21.95" customHeight="1">
      <c r="A23" s="138" t="s">
        <v>32</v>
      </c>
      <c r="B23" s="139">
        <v>1041</v>
      </c>
      <c r="C23" s="31"/>
      <c r="D23" s="31"/>
      <c r="E23" s="31"/>
      <c r="F23" s="31"/>
      <c r="G23" s="31">
        <f t="shared" si="2"/>
        <v>0</v>
      </c>
      <c r="H23" s="140"/>
    </row>
    <row r="24" spans="1:8" ht="21.95" customHeight="1">
      <c r="A24" s="138" t="s">
        <v>33</v>
      </c>
      <c r="B24" s="139">
        <v>1042</v>
      </c>
      <c r="C24" s="31">
        <v>12328.2</v>
      </c>
      <c r="D24" s="30">
        <v>15304.2</v>
      </c>
      <c r="E24" s="30">
        <v>12371.1</v>
      </c>
      <c r="F24" s="30">
        <v>15304.2</v>
      </c>
      <c r="G24" s="31">
        <f t="shared" si="2"/>
        <v>2933.1000000000004</v>
      </c>
      <c r="H24" s="31">
        <f t="shared" si="3"/>
        <v>123.70929020054805</v>
      </c>
    </row>
    <row r="25" spans="1:8" ht="37.5" customHeight="1">
      <c r="A25" s="135" t="s">
        <v>10</v>
      </c>
      <c r="B25" s="136">
        <v>1030</v>
      </c>
      <c r="C25" s="137">
        <f>SUM(C26:C30)</f>
        <v>-2000.1999999999998</v>
      </c>
      <c r="D25" s="137">
        <f t="shared" ref="D25" si="8">SUM(D26:D30)</f>
        <v>-3995.7000000000003</v>
      </c>
      <c r="E25" s="137">
        <f t="shared" ref="E25:F25" si="9">SUM(E26:E30)</f>
        <v>-13738.4</v>
      </c>
      <c r="F25" s="137">
        <f t="shared" si="9"/>
        <v>-3995.7000000000003</v>
      </c>
      <c r="G25" s="137">
        <f t="shared" si="2"/>
        <v>9742.6999999999989</v>
      </c>
      <c r="H25" s="137">
        <f t="shared" si="3"/>
        <v>29.084172829441567</v>
      </c>
    </row>
    <row r="26" spans="1:8" ht="21.95" customHeight="1">
      <c r="A26" s="138" t="s">
        <v>61</v>
      </c>
      <c r="B26" s="139">
        <v>1031</v>
      </c>
      <c r="C26" s="30"/>
      <c r="D26" s="31"/>
      <c r="E26" s="30"/>
      <c r="F26" s="31"/>
      <c r="G26" s="137">
        <f t="shared" si="2"/>
        <v>0</v>
      </c>
      <c r="H26" s="137"/>
    </row>
    <row r="27" spans="1:8" ht="21.95" customHeight="1">
      <c r="A27" s="138" t="s">
        <v>1</v>
      </c>
      <c r="B27" s="139">
        <v>1032</v>
      </c>
      <c r="C27" s="30">
        <v>-1499.5</v>
      </c>
      <c r="D27" s="30">
        <v>-2025.4</v>
      </c>
      <c r="E27" s="30">
        <v>-9425</v>
      </c>
      <c r="F27" s="30">
        <v>-2025.4</v>
      </c>
      <c r="G27" s="31">
        <f t="shared" si="2"/>
        <v>7399.6</v>
      </c>
      <c r="H27" s="31">
        <f t="shared" si="3"/>
        <v>21.489655172413794</v>
      </c>
    </row>
    <row r="28" spans="1:8" ht="21.95" customHeight="1">
      <c r="A28" s="138" t="s">
        <v>2</v>
      </c>
      <c r="B28" s="139">
        <v>1033</v>
      </c>
      <c r="C28" s="30">
        <v>-302.10000000000002</v>
      </c>
      <c r="D28" s="30">
        <v>-392.2</v>
      </c>
      <c r="E28" s="30">
        <v>-2068.4</v>
      </c>
      <c r="F28" s="30">
        <v>-392.2</v>
      </c>
      <c r="G28" s="31">
        <f t="shared" si="2"/>
        <v>1676.2</v>
      </c>
      <c r="H28" s="31">
        <f t="shared" si="3"/>
        <v>18.961516147747048</v>
      </c>
    </row>
    <row r="29" spans="1:8" ht="21.95" customHeight="1">
      <c r="A29" s="138" t="s">
        <v>3</v>
      </c>
      <c r="B29" s="139">
        <v>1034</v>
      </c>
      <c r="C29" s="30"/>
      <c r="D29" s="30">
        <v>-1317.2</v>
      </c>
      <c r="E29" s="30">
        <v>-2000</v>
      </c>
      <c r="F29" s="30">
        <v>-1317.2</v>
      </c>
      <c r="G29" s="31">
        <f t="shared" si="2"/>
        <v>682.8</v>
      </c>
      <c r="H29" s="140"/>
    </row>
    <row r="30" spans="1:8" ht="21.95" customHeight="1">
      <c r="A30" s="138" t="s">
        <v>63</v>
      </c>
      <c r="B30" s="139">
        <v>1035</v>
      </c>
      <c r="C30" s="30">
        <v>-198.6</v>
      </c>
      <c r="D30" s="30">
        <v>-260.89999999999998</v>
      </c>
      <c r="E30" s="30">
        <v>-245</v>
      </c>
      <c r="F30" s="30">
        <v>-260.89999999999998</v>
      </c>
      <c r="G30" s="31">
        <f t="shared" si="2"/>
        <v>-15.899999999999977</v>
      </c>
      <c r="H30" s="31">
        <f t="shared" si="3"/>
        <v>106.48979591836734</v>
      </c>
    </row>
    <row r="31" spans="1:8" ht="41.25" customHeight="1">
      <c r="A31" s="135" t="s">
        <v>0</v>
      </c>
      <c r="B31" s="139">
        <v>1100</v>
      </c>
      <c r="C31" s="137">
        <f t="shared" ref="C31:D31" si="10">SUM(C15,C16,C22,C25)</f>
        <v>-3610.7999999999984</v>
      </c>
      <c r="D31" s="137">
        <f t="shared" si="10"/>
        <v>3185.0999999999854</v>
      </c>
      <c r="E31" s="137">
        <f t="shared" ref="E31:F31" si="11">SUM(E15,E16,E22,E25)</f>
        <v>-6048.5999999999904</v>
      </c>
      <c r="F31" s="137">
        <f t="shared" si="11"/>
        <v>3185.0999999999854</v>
      </c>
      <c r="G31" s="137">
        <f t="shared" si="2"/>
        <v>9233.6999999999753</v>
      </c>
      <c r="H31" s="137">
        <f t="shared" si="3"/>
        <v>-52.658466421981785</v>
      </c>
    </row>
    <row r="32" spans="1:8" ht="21.95" customHeight="1">
      <c r="A32" s="135" t="s">
        <v>279</v>
      </c>
      <c r="B32" s="136">
        <v>1130</v>
      </c>
      <c r="C32" s="137">
        <v>135.30000000000001</v>
      </c>
      <c r="D32" s="137">
        <v>327.39999999999998</v>
      </c>
      <c r="E32" s="137">
        <v>48.6</v>
      </c>
      <c r="F32" s="137">
        <v>327.39999999999998</v>
      </c>
      <c r="G32" s="137">
        <f t="shared" si="2"/>
        <v>278.79999999999995</v>
      </c>
      <c r="H32" s="116">
        <f t="shared" si="3"/>
        <v>673.66255144032914</v>
      </c>
    </row>
    <row r="33" spans="1:10" ht="21.95" customHeight="1">
      <c r="A33" s="141" t="s">
        <v>280</v>
      </c>
      <c r="B33" s="136">
        <v>1140</v>
      </c>
      <c r="C33" s="137"/>
      <c r="D33" s="31"/>
      <c r="E33" s="31"/>
      <c r="F33" s="31"/>
      <c r="G33" s="137">
        <f t="shared" si="2"/>
        <v>0</v>
      </c>
      <c r="H33" s="140"/>
    </row>
    <row r="34" spans="1:10" ht="21.95" customHeight="1">
      <c r="A34" s="135" t="s">
        <v>281</v>
      </c>
      <c r="B34" s="136">
        <v>1150</v>
      </c>
      <c r="C34" s="137">
        <v>1364.7</v>
      </c>
      <c r="D34" s="83">
        <v>10603.7</v>
      </c>
      <c r="E34" s="83">
        <v>6000</v>
      </c>
      <c r="F34" s="83">
        <v>10603.7</v>
      </c>
      <c r="G34" s="137">
        <f t="shared" si="2"/>
        <v>4603.7000000000007</v>
      </c>
      <c r="H34" s="142">
        <f>(F34/E34)*100</f>
        <v>176.72833333333335</v>
      </c>
    </row>
    <row r="35" spans="1:10" ht="21.95" customHeight="1">
      <c r="A35" s="135" t="s">
        <v>282</v>
      </c>
      <c r="B35" s="136">
        <v>1160</v>
      </c>
      <c r="C35" s="137"/>
      <c r="D35" s="31"/>
      <c r="E35" s="31"/>
      <c r="F35" s="31"/>
      <c r="G35" s="137">
        <f t="shared" si="2"/>
        <v>0</v>
      </c>
      <c r="H35" s="140"/>
    </row>
    <row r="36" spans="1:10" ht="21.95" customHeight="1">
      <c r="A36" s="135" t="s">
        <v>12</v>
      </c>
      <c r="B36" s="136">
        <v>1170</v>
      </c>
      <c r="C36" s="137">
        <f>SUM(C31, C32:C35)</f>
        <v>-2110.7999999999984</v>
      </c>
      <c r="D36" s="137">
        <f>SUM(D31, D32:D35)</f>
        <v>14116.199999999986</v>
      </c>
      <c r="E36" s="137"/>
      <c r="F36" s="137">
        <f>SUM(F31, F32:F35)</f>
        <v>14116.199999999986</v>
      </c>
      <c r="G36" s="137">
        <f t="shared" si="2"/>
        <v>14116.199999999986</v>
      </c>
      <c r="H36" s="140"/>
    </row>
    <row r="37" spans="1:10" ht="21.95" customHeight="1">
      <c r="A37" s="141" t="s">
        <v>24</v>
      </c>
      <c r="B37" s="139">
        <v>1180</v>
      </c>
      <c r="C37" s="31"/>
      <c r="D37" s="31"/>
      <c r="E37" s="31"/>
      <c r="F37" s="31"/>
      <c r="G37" s="137">
        <f t="shared" si="2"/>
        <v>0</v>
      </c>
      <c r="H37" s="140"/>
    </row>
    <row r="38" spans="1:10" ht="21.95" customHeight="1">
      <c r="A38" s="141" t="s">
        <v>25</v>
      </c>
      <c r="B38" s="139">
        <v>1181</v>
      </c>
      <c r="C38" s="31"/>
      <c r="D38" s="31"/>
      <c r="E38" s="31"/>
      <c r="F38" s="31"/>
      <c r="G38" s="137">
        <f t="shared" si="2"/>
        <v>0</v>
      </c>
      <c r="H38" s="140"/>
    </row>
    <row r="39" spans="1:10" ht="21.95" customHeight="1">
      <c r="A39" s="135" t="s">
        <v>40</v>
      </c>
      <c r="B39" s="139">
        <v>1200</v>
      </c>
      <c r="C39" s="137">
        <f>SUM(C36:C38)</f>
        <v>-2110.7999999999984</v>
      </c>
      <c r="D39" s="137">
        <f>SUM(D36:D38)</f>
        <v>14116.199999999986</v>
      </c>
      <c r="E39" s="31"/>
      <c r="F39" s="137">
        <f>SUM(F36:F38)</f>
        <v>14116.199999999986</v>
      </c>
      <c r="G39" s="137">
        <f t="shared" si="2"/>
        <v>14116.199999999986</v>
      </c>
      <c r="H39" s="143"/>
    </row>
    <row r="40" spans="1:10" ht="21.95" customHeight="1">
      <c r="A40" s="141" t="s">
        <v>41</v>
      </c>
      <c r="B40" s="139">
        <v>1201</v>
      </c>
      <c r="C40" s="31">
        <f t="shared" ref="C40" si="12">C42+C43</f>
        <v>-2110.8000000000029</v>
      </c>
      <c r="D40" s="31">
        <f>D42+D43</f>
        <v>14116.200000000012</v>
      </c>
      <c r="E40" s="31"/>
      <c r="F40" s="31">
        <f>F42+F43</f>
        <v>14116.200000000012</v>
      </c>
      <c r="G40" s="31">
        <f t="shared" si="2"/>
        <v>14116.200000000012</v>
      </c>
      <c r="H40" s="140"/>
    </row>
    <row r="41" spans="1:10" ht="21.95" customHeight="1">
      <c r="A41" s="141" t="s">
        <v>42</v>
      </c>
      <c r="B41" s="139">
        <v>1202</v>
      </c>
      <c r="C41" s="31"/>
      <c r="D41" s="31"/>
      <c r="E41" s="31"/>
      <c r="F41" s="31"/>
      <c r="G41" s="137">
        <f t="shared" si="2"/>
        <v>0</v>
      </c>
      <c r="H41" s="140"/>
    </row>
    <row r="42" spans="1:10" ht="21.95" customHeight="1">
      <c r="A42" s="135" t="s">
        <v>99</v>
      </c>
      <c r="B42" s="136">
        <v>1210</v>
      </c>
      <c r="C42" s="137">
        <f>SUM(C8,C22,C32,C34,C38)</f>
        <v>78128.5</v>
      </c>
      <c r="D42" s="137">
        <f t="shared" ref="D42:F42" si="13">SUM(D8,D22,D32,D34,D38)</f>
        <v>146826.20000000001</v>
      </c>
      <c r="E42" s="137">
        <f t="shared" ref="E42" si="14">SUM(E8,E22,E32,E34,E38)</f>
        <v>112321.70000000001</v>
      </c>
      <c r="F42" s="137">
        <f t="shared" si="13"/>
        <v>146826.20000000001</v>
      </c>
      <c r="G42" s="137">
        <f t="shared" si="2"/>
        <v>34504.5</v>
      </c>
      <c r="H42" s="142">
        <f t="shared" si="3"/>
        <v>130.7193534285895</v>
      </c>
    </row>
    <row r="43" spans="1:10" ht="21.95" customHeight="1">
      <c r="A43" s="135" t="s">
        <v>100</v>
      </c>
      <c r="B43" s="136">
        <v>1220</v>
      </c>
      <c r="C43" s="137">
        <f>SUM(C9,C16,C25,C33,C35,C37)</f>
        <v>-80239.3</v>
      </c>
      <c r="D43" s="137">
        <f t="shared" ref="D43:F43" si="15">SUM(D9,D16,D25,D33,D35,D37)</f>
        <v>-132710</v>
      </c>
      <c r="E43" s="137">
        <f t="shared" ref="E43" si="16">SUM(E9,E16,E25,E33,E35,E37)</f>
        <v>-112321.69999999998</v>
      </c>
      <c r="F43" s="137">
        <f t="shared" si="15"/>
        <v>-132710</v>
      </c>
      <c r="G43" s="137">
        <f t="shared" si="2"/>
        <v>-20388.300000000017</v>
      </c>
      <c r="H43" s="142">
        <f t="shared" si="3"/>
        <v>118.15170176377319</v>
      </c>
      <c r="I43" s="61"/>
      <c r="J43" s="61"/>
    </row>
    <row r="44" spans="1:10" ht="21.95" customHeight="1">
      <c r="A44" s="274" t="s">
        <v>105</v>
      </c>
      <c r="B44" s="274"/>
      <c r="C44" s="274"/>
      <c r="D44" s="274"/>
      <c r="E44" s="274"/>
      <c r="F44" s="274"/>
      <c r="G44" s="274"/>
      <c r="H44" s="274"/>
    </row>
    <row r="45" spans="1:10" ht="21.95" customHeight="1">
      <c r="A45" s="138" t="s">
        <v>50</v>
      </c>
      <c r="B45" s="207">
        <v>9000</v>
      </c>
      <c r="C45" s="31">
        <f>-C10-C17</f>
        <v>21374.6</v>
      </c>
      <c r="D45" s="31">
        <f>-D10-D17</f>
        <v>32435.5</v>
      </c>
      <c r="E45" s="31">
        <f>-E10-E17</f>
        <v>24893.200000000001</v>
      </c>
      <c r="F45" s="31">
        <f>-F10-F17</f>
        <v>32435.5</v>
      </c>
      <c r="G45" s="31">
        <f t="shared" ref="G45:G50" si="17">F45-E45</f>
        <v>7542.2999999999993</v>
      </c>
      <c r="H45" s="31">
        <f t="shared" ref="H45:H50" si="18">(F45/E45)*100</f>
        <v>130.29863577201806</v>
      </c>
    </row>
    <row r="46" spans="1:10" ht="21.95" customHeight="1">
      <c r="A46" s="138" t="s">
        <v>1</v>
      </c>
      <c r="B46" s="207">
        <v>9010</v>
      </c>
      <c r="C46" s="31">
        <f t="shared" ref="C46:F47" si="19">-C11-C18-C27</f>
        <v>45442.200000000004</v>
      </c>
      <c r="D46" s="31">
        <f t="shared" si="19"/>
        <v>72148.100000000006</v>
      </c>
      <c r="E46" s="31">
        <f t="shared" si="19"/>
        <v>65581.7</v>
      </c>
      <c r="F46" s="31">
        <f t="shared" si="19"/>
        <v>72148.100000000006</v>
      </c>
      <c r="G46" s="31">
        <f t="shared" si="17"/>
        <v>6566.4000000000087</v>
      </c>
      <c r="H46" s="31">
        <f t="shared" si="18"/>
        <v>110.01254923248408</v>
      </c>
    </row>
    <row r="47" spans="1:10" ht="21.95" customHeight="1">
      <c r="A47" s="138" t="s">
        <v>2</v>
      </c>
      <c r="B47" s="207">
        <v>9020</v>
      </c>
      <c r="C47" s="31">
        <f t="shared" si="19"/>
        <v>9949</v>
      </c>
      <c r="D47" s="31">
        <f t="shared" si="19"/>
        <v>15561.1</v>
      </c>
      <c r="E47" s="31">
        <f t="shared" si="19"/>
        <v>14388.9</v>
      </c>
      <c r="F47" s="31">
        <f t="shared" si="19"/>
        <v>15561.1</v>
      </c>
      <c r="G47" s="31">
        <f t="shared" si="17"/>
        <v>1172.2000000000007</v>
      </c>
      <c r="H47" s="31">
        <f t="shared" si="18"/>
        <v>108.14655741578578</v>
      </c>
    </row>
    <row r="48" spans="1:10" ht="21.95" customHeight="1">
      <c r="A48" s="138" t="s">
        <v>3</v>
      </c>
      <c r="B48" s="207">
        <v>9030</v>
      </c>
      <c r="C48" s="31">
        <v>1580.5</v>
      </c>
      <c r="D48" s="31">
        <f>-D13-D29</f>
        <v>11193.6</v>
      </c>
      <c r="E48" s="31">
        <f>-E13-E29</f>
        <v>6000</v>
      </c>
      <c r="F48" s="31">
        <f>-F13-F29</f>
        <v>11193.6</v>
      </c>
      <c r="G48" s="31">
        <f t="shared" si="17"/>
        <v>5193.6000000000004</v>
      </c>
      <c r="H48" s="31">
        <f t="shared" si="18"/>
        <v>186.56</v>
      </c>
    </row>
    <row r="49" spans="1:8" ht="21.95" customHeight="1">
      <c r="A49" s="138" t="s">
        <v>5</v>
      </c>
      <c r="B49" s="207">
        <v>9040</v>
      </c>
      <c r="C49" s="31">
        <f>-C30-C14-C21</f>
        <v>1893</v>
      </c>
      <c r="D49" s="31">
        <f>-D30-D14-D21</f>
        <v>1371.7</v>
      </c>
      <c r="E49" s="31">
        <f>-E30-E14-E21</f>
        <v>1457.9</v>
      </c>
      <c r="F49" s="31">
        <f>-F30-F14-F21</f>
        <v>1371.7</v>
      </c>
      <c r="G49" s="31">
        <f t="shared" si="17"/>
        <v>-86.200000000000045</v>
      </c>
      <c r="H49" s="31">
        <f t="shared" si="18"/>
        <v>94.087385966115647</v>
      </c>
    </row>
    <row r="50" spans="1:8" ht="21.95" customHeight="1">
      <c r="A50" s="144" t="s">
        <v>7</v>
      </c>
      <c r="B50" s="208">
        <v>9050</v>
      </c>
      <c r="C50" s="137">
        <f>SUM(C45:C49)</f>
        <v>80239.3</v>
      </c>
      <c r="D50" s="137">
        <f t="shared" ref="D50:F50" si="20">SUM(D45:D49)</f>
        <v>132710.00000000003</v>
      </c>
      <c r="E50" s="137">
        <f t="shared" ref="E50" si="21">SUM(E45:E49)</f>
        <v>112321.69999999998</v>
      </c>
      <c r="F50" s="137">
        <f t="shared" si="20"/>
        <v>132710.00000000003</v>
      </c>
      <c r="G50" s="137">
        <f t="shared" si="17"/>
        <v>20388.300000000047</v>
      </c>
      <c r="H50" s="137">
        <f t="shared" si="18"/>
        <v>118.1517017637732</v>
      </c>
    </row>
    <row r="51" spans="1:8" ht="21.95" customHeight="1">
      <c r="A51" s="265" t="s">
        <v>83</v>
      </c>
      <c r="B51" s="265"/>
      <c r="C51" s="265"/>
      <c r="D51" s="265"/>
      <c r="E51" s="265"/>
      <c r="F51" s="265"/>
      <c r="G51" s="265"/>
      <c r="H51" s="265"/>
    </row>
    <row r="52" spans="1:8" ht="63" customHeight="1">
      <c r="A52" s="145" t="s">
        <v>249</v>
      </c>
      <c r="B52" s="136">
        <v>2110</v>
      </c>
      <c r="C52" s="137">
        <f>SUM(C53:C56)</f>
        <v>-704.1</v>
      </c>
      <c r="D52" s="137">
        <f t="shared" ref="D52" si="22">SUM(D53:D56)</f>
        <v>-1113.5</v>
      </c>
      <c r="E52" s="137">
        <f t="shared" ref="E52:F52" si="23">SUM(E53:E56)</f>
        <v>-1033.8</v>
      </c>
      <c r="F52" s="137">
        <f t="shared" si="23"/>
        <v>-1113.5</v>
      </c>
      <c r="G52" s="137">
        <f>F52-E52</f>
        <v>-79.700000000000045</v>
      </c>
      <c r="H52" s="137">
        <f>(F52/E52)*100</f>
        <v>107.70942155155736</v>
      </c>
    </row>
    <row r="53" spans="1:8" ht="42" customHeight="1">
      <c r="A53" s="138" t="s">
        <v>47</v>
      </c>
      <c r="B53" s="139">
        <v>2111</v>
      </c>
      <c r="C53" s="31">
        <v>-22.5</v>
      </c>
      <c r="D53" s="31">
        <v>-24.5</v>
      </c>
      <c r="E53" s="31">
        <v>-50</v>
      </c>
      <c r="F53" s="31">
        <v>-24.5</v>
      </c>
      <c r="G53" s="31">
        <f t="shared" ref="G53:G68" si="24">F53-E53</f>
        <v>25.5</v>
      </c>
      <c r="H53" s="31">
        <f>(F53/E53)*100</f>
        <v>49</v>
      </c>
    </row>
    <row r="54" spans="1:8" ht="40.5" customHeight="1">
      <c r="A54" s="146" t="s">
        <v>48</v>
      </c>
      <c r="B54" s="139">
        <v>2112</v>
      </c>
      <c r="C54" s="31"/>
      <c r="D54" s="31"/>
      <c r="E54" s="31"/>
      <c r="F54" s="31"/>
      <c r="G54" s="31">
        <f t="shared" si="24"/>
        <v>0</v>
      </c>
      <c r="H54" s="140"/>
    </row>
    <row r="55" spans="1:8" ht="21.95" customHeight="1">
      <c r="A55" s="138" t="s">
        <v>55</v>
      </c>
      <c r="B55" s="139">
        <v>2113</v>
      </c>
      <c r="C55" s="30">
        <v>-681.6</v>
      </c>
      <c r="D55" s="30">
        <v>-1089</v>
      </c>
      <c r="E55" s="30">
        <v>-983.8</v>
      </c>
      <c r="F55" s="30">
        <v>-1089</v>
      </c>
      <c r="G55" s="31">
        <f t="shared" si="24"/>
        <v>-105.20000000000005</v>
      </c>
      <c r="H55" s="31">
        <f t="shared" ref="H55:H68" si="25">(F55/E55)*100</f>
        <v>110.69323033136817</v>
      </c>
    </row>
    <row r="56" spans="1:8" ht="21.95" customHeight="1">
      <c r="A56" s="138" t="s">
        <v>35</v>
      </c>
      <c r="B56" s="139">
        <v>2114</v>
      </c>
      <c r="C56" s="31"/>
      <c r="D56" s="31"/>
      <c r="E56" s="31"/>
      <c r="F56" s="31"/>
      <c r="G56" s="137">
        <f t="shared" si="24"/>
        <v>0</v>
      </c>
      <c r="H56" s="140"/>
    </row>
    <row r="57" spans="1:8" ht="41.25" customHeight="1">
      <c r="A57" s="147" t="s">
        <v>52</v>
      </c>
      <c r="B57" s="208">
        <v>2120</v>
      </c>
      <c r="C57" s="137">
        <f>SUM(C58:C63)</f>
        <v>-8273.5</v>
      </c>
      <c r="D57" s="137">
        <f>SUM(D58:D63)</f>
        <v>-13068.8</v>
      </c>
      <c r="E57" s="137">
        <f>SUM(E58:E63)</f>
        <v>-11804.7</v>
      </c>
      <c r="F57" s="137">
        <f>SUM(F58:F63)</f>
        <v>-13068.8</v>
      </c>
      <c r="G57" s="137">
        <f t="shared" si="24"/>
        <v>-1264.0999999999985</v>
      </c>
      <c r="H57" s="137">
        <f t="shared" si="25"/>
        <v>110.70844663566206</v>
      </c>
    </row>
    <row r="58" spans="1:8" ht="21.95" customHeight="1">
      <c r="A58" s="146" t="s">
        <v>34</v>
      </c>
      <c r="B58" s="207">
        <v>2121</v>
      </c>
      <c r="C58" s="31"/>
      <c r="D58" s="31"/>
      <c r="E58" s="31"/>
      <c r="F58" s="31"/>
      <c r="G58" s="137">
        <f t="shared" si="24"/>
        <v>0</v>
      </c>
      <c r="H58" s="140"/>
    </row>
    <row r="59" spans="1:8" ht="21.95" customHeight="1">
      <c r="A59" s="138" t="s">
        <v>11</v>
      </c>
      <c r="B59" s="207">
        <v>2122</v>
      </c>
      <c r="C59" s="30">
        <v>-8273.5</v>
      </c>
      <c r="D59" s="30">
        <v>-13068.8</v>
      </c>
      <c r="E59" s="30">
        <v>-11804.7</v>
      </c>
      <c r="F59" s="30">
        <v>-13068.8</v>
      </c>
      <c r="G59" s="31">
        <f t="shared" si="24"/>
        <v>-1264.0999999999985</v>
      </c>
      <c r="H59" s="31">
        <f t="shared" si="25"/>
        <v>110.70844663566206</v>
      </c>
    </row>
    <row r="60" spans="1:8" ht="21.95" customHeight="1">
      <c r="A60" s="138" t="s">
        <v>38</v>
      </c>
      <c r="B60" s="207">
        <v>2123</v>
      </c>
      <c r="C60" s="31"/>
      <c r="D60" s="31"/>
      <c r="E60" s="31"/>
      <c r="F60" s="31"/>
      <c r="G60" s="137">
        <f t="shared" si="24"/>
        <v>0</v>
      </c>
      <c r="H60" s="140"/>
    </row>
    <row r="61" spans="1:8" ht="21.95" customHeight="1">
      <c r="A61" s="138" t="s">
        <v>39</v>
      </c>
      <c r="B61" s="207">
        <v>2124</v>
      </c>
      <c r="C61" s="31"/>
      <c r="D61" s="31"/>
      <c r="E61" s="31"/>
      <c r="F61" s="31"/>
      <c r="G61" s="137">
        <f t="shared" si="24"/>
        <v>0</v>
      </c>
      <c r="H61" s="140"/>
    </row>
    <row r="62" spans="1:8" ht="80.25" customHeight="1">
      <c r="A62" s="138" t="s">
        <v>101</v>
      </c>
      <c r="B62" s="207">
        <v>2125</v>
      </c>
      <c r="C62" s="31"/>
      <c r="D62" s="31"/>
      <c r="E62" s="31"/>
      <c r="F62" s="31"/>
      <c r="G62" s="137">
        <f t="shared" si="24"/>
        <v>0</v>
      </c>
      <c r="H62" s="140"/>
    </row>
    <row r="63" spans="1:8" ht="22.5" customHeight="1">
      <c r="A63" s="138" t="s">
        <v>35</v>
      </c>
      <c r="B63" s="207">
        <v>2126</v>
      </c>
      <c r="C63" s="31"/>
      <c r="D63" s="31"/>
      <c r="E63" s="31"/>
      <c r="F63" s="31"/>
      <c r="G63" s="137">
        <f t="shared" si="24"/>
        <v>0</v>
      </c>
      <c r="H63" s="140"/>
    </row>
    <row r="64" spans="1:8" ht="44.25" customHeight="1">
      <c r="A64" s="145" t="s">
        <v>53</v>
      </c>
      <c r="B64" s="208">
        <v>2130</v>
      </c>
      <c r="C64" s="137">
        <f>SUM(C65:C67)</f>
        <v>-10376.5</v>
      </c>
      <c r="D64" s="137">
        <f t="shared" ref="D64" si="26">SUM(D65:D67)</f>
        <v>-16228.900000000001</v>
      </c>
      <c r="E64" s="137">
        <f t="shared" ref="E64:F64" si="27">SUM(E65:E67)</f>
        <v>-15044.4</v>
      </c>
      <c r="F64" s="137">
        <f t="shared" si="27"/>
        <v>-16228.900000000001</v>
      </c>
      <c r="G64" s="137">
        <f t="shared" si="24"/>
        <v>-1184.5000000000018</v>
      </c>
      <c r="H64" s="137">
        <f t="shared" si="25"/>
        <v>107.8733615165776</v>
      </c>
    </row>
    <row r="65" spans="1:8" ht="21.95" customHeight="1">
      <c r="A65" s="138" t="s">
        <v>36</v>
      </c>
      <c r="B65" s="207">
        <v>2131</v>
      </c>
      <c r="C65" s="31"/>
      <c r="D65" s="31"/>
      <c r="E65" s="31"/>
      <c r="F65" s="31"/>
      <c r="G65" s="137">
        <f t="shared" si="24"/>
        <v>0</v>
      </c>
      <c r="H65" s="140"/>
    </row>
    <row r="66" spans="1:8" ht="41.25" customHeight="1">
      <c r="A66" s="138" t="s">
        <v>37</v>
      </c>
      <c r="B66" s="207">
        <v>2132</v>
      </c>
      <c r="C66" s="30">
        <v>-9949</v>
      </c>
      <c r="D66" s="30">
        <v>-15561.2</v>
      </c>
      <c r="E66" s="30">
        <v>-14388.9</v>
      </c>
      <c r="F66" s="30">
        <v>-15561.2</v>
      </c>
      <c r="G66" s="31">
        <f t="shared" si="24"/>
        <v>-1172.3000000000011</v>
      </c>
      <c r="H66" s="31">
        <f t="shared" si="25"/>
        <v>108.14725239594409</v>
      </c>
    </row>
    <row r="67" spans="1:8" ht="39" customHeight="1">
      <c r="A67" s="138" t="s">
        <v>245</v>
      </c>
      <c r="B67" s="207">
        <v>2133</v>
      </c>
      <c r="C67" s="30">
        <v>-427.5</v>
      </c>
      <c r="D67" s="30">
        <v>-667.7</v>
      </c>
      <c r="E67" s="30">
        <v>-655.5</v>
      </c>
      <c r="F67" s="30">
        <v>-667.7</v>
      </c>
      <c r="G67" s="31">
        <f t="shared" si="24"/>
        <v>-12.200000000000045</v>
      </c>
      <c r="H67" s="31">
        <f t="shared" si="25"/>
        <v>101.86117467581998</v>
      </c>
    </row>
    <row r="68" spans="1:8" ht="21.95" customHeight="1">
      <c r="A68" s="147" t="s">
        <v>49</v>
      </c>
      <c r="B68" s="208">
        <v>2200</v>
      </c>
      <c r="C68" s="137">
        <f>SUM(C52+C57+C64)</f>
        <v>-19354.099999999999</v>
      </c>
      <c r="D68" s="137">
        <f>SUM(D52+D57+D64)</f>
        <v>-30411.200000000001</v>
      </c>
      <c r="E68" s="137">
        <f>SUM(E52+E57+E64)</f>
        <v>-27882.9</v>
      </c>
      <c r="F68" s="137">
        <f>SUM(F52+F57+F64)</f>
        <v>-30411.200000000001</v>
      </c>
      <c r="G68" s="137">
        <f t="shared" si="24"/>
        <v>-2528.2999999999993</v>
      </c>
      <c r="H68" s="137">
        <f t="shared" si="25"/>
        <v>109.0675647081186</v>
      </c>
    </row>
    <row r="69" spans="1:8" ht="21.95" customHeight="1">
      <c r="A69" s="266" t="s">
        <v>84</v>
      </c>
      <c r="B69" s="267"/>
      <c r="C69" s="267"/>
      <c r="D69" s="267"/>
      <c r="E69" s="267"/>
      <c r="F69" s="267"/>
      <c r="G69" s="267"/>
      <c r="H69" s="268"/>
    </row>
    <row r="70" spans="1:8" ht="21.95" customHeight="1">
      <c r="A70" s="135" t="s">
        <v>16</v>
      </c>
      <c r="B70" s="136">
        <v>4000</v>
      </c>
      <c r="C70" s="137">
        <f>SUM(C71:C77)</f>
        <v>-3406.7</v>
      </c>
      <c r="D70" s="137">
        <f>SUM(D71:D77)</f>
        <v>0</v>
      </c>
      <c r="E70" s="137">
        <f>SUM(E71:E77)</f>
        <v>0</v>
      </c>
      <c r="F70" s="137">
        <f>SUM(F71:F77)</f>
        <v>0</v>
      </c>
      <c r="G70" s="137">
        <f>F70-E70</f>
        <v>0</v>
      </c>
      <c r="H70" s="137" t="e">
        <f>(F70/E70)*100</f>
        <v>#DIV/0!</v>
      </c>
    </row>
    <row r="71" spans="1:8" ht="21.95" customHeight="1">
      <c r="A71" s="138" t="s">
        <v>56</v>
      </c>
      <c r="B71" s="139">
        <v>4010</v>
      </c>
      <c r="C71" s="31"/>
      <c r="D71" s="31"/>
      <c r="E71" s="31"/>
      <c r="F71" s="31"/>
      <c r="G71" s="137">
        <f t="shared" ref="G71:G77" si="28">F71-E71</f>
        <v>0</v>
      </c>
      <c r="H71" s="31"/>
    </row>
    <row r="72" spans="1:8" ht="42.75" customHeight="1">
      <c r="A72" s="138" t="s">
        <v>283</v>
      </c>
      <c r="B72" s="139">
        <v>4020</v>
      </c>
      <c r="C72" s="31">
        <v>-3178.7</v>
      </c>
      <c r="D72" s="31" t="s">
        <v>318</v>
      </c>
      <c r="E72" s="31"/>
      <c r="F72" s="31" t="s">
        <v>318</v>
      </c>
      <c r="G72" s="31" t="e">
        <f t="shared" si="28"/>
        <v>#VALUE!</v>
      </c>
      <c r="H72" s="31" t="e">
        <f t="shared" ref="H72" si="29">(F72/E72)*100</f>
        <v>#VALUE!</v>
      </c>
    </row>
    <row r="73" spans="1:8" ht="57.75" customHeight="1">
      <c r="A73" s="138" t="s">
        <v>64</v>
      </c>
      <c r="B73" s="139">
        <v>4030</v>
      </c>
      <c r="C73" s="31"/>
      <c r="D73" s="31"/>
      <c r="E73" s="31"/>
      <c r="F73" s="31"/>
      <c r="G73" s="137">
        <f t="shared" si="28"/>
        <v>0</v>
      </c>
      <c r="H73" s="140"/>
    </row>
    <row r="74" spans="1:8" ht="42" customHeight="1">
      <c r="A74" s="138" t="s">
        <v>284</v>
      </c>
      <c r="B74" s="139">
        <v>4040</v>
      </c>
      <c r="C74" s="31"/>
      <c r="D74" s="31"/>
      <c r="E74" s="31"/>
      <c r="F74" s="31"/>
      <c r="G74" s="137">
        <f t="shared" si="28"/>
        <v>0</v>
      </c>
      <c r="H74" s="140"/>
    </row>
    <row r="75" spans="1:8" ht="61.5" customHeight="1">
      <c r="A75" s="138" t="s">
        <v>57</v>
      </c>
      <c r="B75" s="139">
        <v>4050</v>
      </c>
      <c r="C75" s="31"/>
      <c r="D75" s="31"/>
      <c r="E75" s="31"/>
      <c r="F75" s="31"/>
      <c r="G75" s="137">
        <f t="shared" si="28"/>
        <v>0</v>
      </c>
      <c r="H75" s="140"/>
    </row>
    <row r="76" spans="1:8" ht="21.95" customHeight="1">
      <c r="A76" s="138" t="s">
        <v>58</v>
      </c>
      <c r="B76" s="139">
        <v>4060</v>
      </c>
      <c r="C76" s="31">
        <v>-228</v>
      </c>
      <c r="D76" s="31" t="s">
        <v>318</v>
      </c>
      <c r="E76" s="31" t="s">
        <v>318</v>
      </c>
      <c r="F76" s="31" t="s">
        <v>318</v>
      </c>
      <c r="G76" s="31" t="s">
        <v>318</v>
      </c>
      <c r="H76" s="140"/>
    </row>
    <row r="77" spans="1:8" ht="21.95" customHeight="1">
      <c r="A77" s="138" t="s">
        <v>44</v>
      </c>
      <c r="B77" s="139">
        <v>4070</v>
      </c>
      <c r="C77" s="31"/>
      <c r="D77" s="31"/>
      <c r="E77" s="31"/>
      <c r="F77" s="31"/>
      <c r="G77" s="137">
        <f t="shared" si="28"/>
        <v>0</v>
      </c>
      <c r="H77" s="140"/>
    </row>
    <row r="78" spans="1:8" ht="21.95" customHeight="1">
      <c r="A78" s="251" t="s">
        <v>85</v>
      </c>
      <c r="B78" s="252"/>
      <c r="C78" s="252"/>
      <c r="D78" s="252"/>
      <c r="E78" s="252"/>
      <c r="F78" s="252"/>
      <c r="G78" s="252"/>
      <c r="H78" s="253"/>
    </row>
    <row r="79" spans="1:8" ht="58.5" customHeight="1">
      <c r="A79" s="260" t="s">
        <v>20</v>
      </c>
      <c r="B79" s="256" t="s">
        <v>4</v>
      </c>
      <c r="C79" s="254" t="s">
        <v>104</v>
      </c>
      <c r="D79" s="255"/>
      <c r="E79" s="256" t="s">
        <v>326</v>
      </c>
      <c r="F79" s="256" t="s">
        <v>327</v>
      </c>
      <c r="G79" s="256" t="s">
        <v>94</v>
      </c>
      <c r="H79" s="258" t="s">
        <v>94</v>
      </c>
    </row>
    <row r="80" spans="1:8" ht="45" customHeight="1">
      <c r="A80" s="261"/>
      <c r="B80" s="257"/>
      <c r="C80" s="207" t="s">
        <v>324</v>
      </c>
      <c r="D80" s="207" t="s">
        <v>325</v>
      </c>
      <c r="E80" s="257"/>
      <c r="F80" s="257"/>
      <c r="G80" s="257"/>
      <c r="H80" s="259"/>
    </row>
    <row r="81" spans="1:8" s="112" customFormat="1" ht="83.25" customHeight="1">
      <c r="A81" s="147" t="s">
        <v>285</v>
      </c>
      <c r="B81" s="148" t="s">
        <v>26</v>
      </c>
      <c r="C81" s="216">
        <f t="shared" ref="C81:F81" si="30">SUM(C82:C84)</f>
        <v>670</v>
      </c>
      <c r="D81" s="216">
        <f t="shared" si="30"/>
        <v>717</v>
      </c>
      <c r="E81" s="149">
        <f t="shared" si="30"/>
        <v>687</v>
      </c>
      <c r="F81" s="216">
        <f t="shared" si="30"/>
        <v>717</v>
      </c>
      <c r="G81" s="149">
        <f>F81-E81</f>
        <v>30</v>
      </c>
      <c r="H81" s="137">
        <f>F81/E81*100</f>
        <v>104.36681222707425</v>
      </c>
    </row>
    <row r="82" spans="1:8" ht="21.95" customHeight="1">
      <c r="A82" s="141" t="s">
        <v>18</v>
      </c>
      <c r="B82" s="139" t="s">
        <v>27</v>
      </c>
      <c r="C82" s="31">
        <v>1</v>
      </c>
      <c r="D82" s="30">
        <v>1</v>
      </c>
      <c r="E82" s="31">
        <v>1</v>
      </c>
      <c r="F82" s="30">
        <v>1</v>
      </c>
      <c r="G82" s="31">
        <f t="shared" ref="G82:G96" si="31">F82-E82</f>
        <v>0</v>
      </c>
      <c r="H82" s="31">
        <f t="shared" ref="H82:H96" si="32">F82/E82*100</f>
        <v>100</v>
      </c>
    </row>
    <row r="83" spans="1:8" ht="21.95" customHeight="1">
      <c r="A83" s="141" t="s">
        <v>21</v>
      </c>
      <c r="B83" s="139" t="s">
        <v>28</v>
      </c>
      <c r="C83" s="31">
        <v>27</v>
      </c>
      <c r="D83" s="30">
        <v>27</v>
      </c>
      <c r="E83" s="31">
        <v>27</v>
      </c>
      <c r="F83" s="30">
        <v>27</v>
      </c>
      <c r="G83" s="31">
        <f t="shared" si="31"/>
        <v>0</v>
      </c>
      <c r="H83" s="31">
        <f t="shared" si="32"/>
        <v>100</v>
      </c>
    </row>
    <row r="84" spans="1:8" ht="21.95" customHeight="1">
      <c r="A84" s="141" t="s">
        <v>19</v>
      </c>
      <c r="B84" s="139" t="s">
        <v>29</v>
      </c>
      <c r="C84" s="31">
        <v>642</v>
      </c>
      <c r="D84" s="30">
        <v>689</v>
      </c>
      <c r="E84" s="31">
        <v>659</v>
      </c>
      <c r="F84" s="30">
        <v>689</v>
      </c>
      <c r="G84" s="31">
        <f t="shared" si="31"/>
        <v>30</v>
      </c>
      <c r="H84" s="31">
        <f t="shared" si="32"/>
        <v>104.55235204855842</v>
      </c>
    </row>
    <row r="85" spans="1:8" ht="21.95" customHeight="1">
      <c r="A85" s="135" t="s">
        <v>65</v>
      </c>
      <c r="B85" s="136" t="s">
        <v>30</v>
      </c>
      <c r="C85" s="137">
        <f>SUM(C86:C88)</f>
        <v>45442.200000000004</v>
      </c>
      <c r="D85" s="137">
        <f>SUM(D86:D88)</f>
        <v>72148.099999999991</v>
      </c>
      <c r="E85" s="137">
        <f t="shared" ref="E85" si="33">SUM(E86:E88)</f>
        <v>65581.7</v>
      </c>
      <c r="F85" s="137">
        <f>SUM(F86:F88)</f>
        <v>72148.099999999991</v>
      </c>
      <c r="G85" s="83">
        <f t="shared" si="31"/>
        <v>6566.3999999999942</v>
      </c>
      <c r="H85" s="137">
        <f t="shared" si="32"/>
        <v>110.01254923248405</v>
      </c>
    </row>
    <row r="86" spans="1:8" ht="21.95" customHeight="1">
      <c r="A86" s="141" t="s">
        <v>18</v>
      </c>
      <c r="B86" s="139">
        <v>8011</v>
      </c>
      <c r="C86" s="30">
        <v>250.5</v>
      </c>
      <c r="D86" s="31">
        <v>386.1</v>
      </c>
      <c r="E86" s="30">
        <v>300</v>
      </c>
      <c r="F86" s="31">
        <v>386.1</v>
      </c>
      <c r="G86" s="31">
        <f t="shared" si="31"/>
        <v>86.100000000000023</v>
      </c>
      <c r="H86" s="31">
        <f t="shared" si="32"/>
        <v>128.70000000000002</v>
      </c>
    </row>
    <row r="87" spans="1:8" ht="21.95" customHeight="1">
      <c r="A87" s="141" t="s">
        <v>21</v>
      </c>
      <c r="B87" s="139">
        <v>8012</v>
      </c>
      <c r="C87" s="30">
        <v>2698.8</v>
      </c>
      <c r="D87" s="30">
        <v>3916.1</v>
      </c>
      <c r="E87" s="30">
        <v>2900</v>
      </c>
      <c r="F87" s="30">
        <v>3916.1</v>
      </c>
      <c r="G87" s="31">
        <f t="shared" si="31"/>
        <v>1016.0999999999999</v>
      </c>
      <c r="H87" s="31">
        <f t="shared" si="32"/>
        <v>135.03793103448277</v>
      </c>
    </row>
    <row r="88" spans="1:8" ht="21.95" customHeight="1">
      <c r="A88" s="141" t="s">
        <v>19</v>
      </c>
      <c r="B88" s="139">
        <v>8013</v>
      </c>
      <c r="C88" s="30">
        <v>42492.9</v>
      </c>
      <c r="D88" s="30">
        <v>67845.899999999994</v>
      </c>
      <c r="E88" s="30">
        <v>62381.7</v>
      </c>
      <c r="F88" s="30">
        <v>67845.899999999994</v>
      </c>
      <c r="G88" s="31">
        <f t="shared" si="31"/>
        <v>5464.1999999999971</v>
      </c>
      <c r="H88" s="31">
        <f t="shared" si="32"/>
        <v>108.7592996022872</v>
      </c>
    </row>
    <row r="89" spans="1:8" ht="21.95" customHeight="1">
      <c r="A89" s="135" t="s">
        <v>1</v>
      </c>
      <c r="B89" s="136">
        <v>8020</v>
      </c>
      <c r="C89" s="137">
        <f>SUM(C90:C92)</f>
        <v>45442.200000000004</v>
      </c>
      <c r="D89" s="83">
        <f t="shared" ref="D89" si="34">SUM(D90:D92)</f>
        <v>72148.099999999991</v>
      </c>
      <c r="E89" s="83">
        <f t="shared" ref="E89:F89" si="35">SUM(E90:E92)</f>
        <v>65581.7</v>
      </c>
      <c r="F89" s="83">
        <f t="shared" si="35"/>
        <v>72148.099999999991</v>
      </c>
      <c r="G89" s="137">
        <f t="shared" si="31"/>
        <v>6566.3999999999942</v>
      </c>
      <c r="H89" s="137">
        <f t="shared" si="32"/>
        <v>110.01254923248405</v>
      </c>
    </row>
    <row r="90" spans="1:8" ht="21.95" customHeight="1">
      <c r="A90" s="141" t="s">
        <v>18</v>
      </c>
      <c r="B90" s="139">
        <v>8021</v>
      </c>
      <c r="C90" s="30">
        <v>250.5</v>
      </c>
      <c r="D90" s="31">
        <v>386.1</v>
      </c>
      <c r="E90" s="30">
        <v>300</v>
      </c>
      <c r="F90" s="31">
        <v>386.1</v>
      </c>
      <c r="G90" s="31">
        <f t="shared" si="31"/>
        <v>86.100000000000023</v>
      </c>
      <c r="H90" s="31">
        <f t="shared" si="32"/>
        <v>128.70000000000002</v>
      </c>
    </row>
    <row r="91" spans="1:8" ht="21.95" customHeight="1">
      <c r="A91" s="141" t="s">
        <v>21</v>
      </c>
      <c r="B91" s="139">
        <v>8022</v>
      </c>
      <c r="C91" s="30">
        <v>2698.8</v>
      </c>
      <c r="D91" s="30">
        <v>3916.1</v>
      </c>
      <c r="E91" s="30">
        <v>2900</v>
      </c>
      <c r="F91" s="30">
        <v>3916.1</v>
      </c>
      <c r="G91" s="31">
        <f t="shared" si="31"/>
        <v>1016.0999999999999</v>
      </c>
      <c r="H91" s="31">
        <f t="shared" si="32"/>
        <v>135.03793103448277</v>
      </c>
    </row>
    <row r="92" spans="1:8" ht="21.95" customHeight="1">
      <c r="A92" s="141" t="s">
        <v>19</v>
      </c>
      <c r="B92" s="139">
        <v>8023</v>
      </c>
      <c r="C92" s="30">
        <v>42492.9</v>
      </c>
      <c r="D92" s="30">
        <v>67845.899999999994</v>
      </c>
      <c r="E92" s="30">
        <v>62381.7</v>
      </c>
      <c r="F92" s="30">
        <v>67845.899999999994</v>
      </c>
      <c r="G92" s="31">
        <f t="shared" si="31"/>
        <v>5464.1999999999971</v>
      </c>
      <c r="H92" s="31">
        <f t="shared" si="32"/>
        <v>108.7592996022872</v>
      </c>
    </row>
    <row r="93" spans="1:8" s="112" customFormat="1" ht="39.75" customHeight="1">
      <c r="A93" s="147" t="s">
        <v>43</v>
      </c>
      <c r="B93" s="148" t="s">
        <v>66</v>
      </c>
      <c r="C93" s="217">
        <f t="shared" ref="C93:F94" si="36">(C89/C81)/6*1000</f>
        <v>11304.02985074627</v>
      </c>
      <c r="D93" s="217">
        <f t="shared" si="36"/>
        <v>16770.827522082753</v>
      </c>
      <c r="E93" s="217">
        <f t="shared" si="36"/>
        <v>15910.164968461911</v>
      </c>
      <c r="F93" s="217">
        <f t="shared" si="36"/>
        <v>16770.827522082753</v>
      </c>
      <c r="G93" s="149">
        <f t="shared" si="31"/>
        <v>860.66255362084121</v>
      </c>
      <c r="H93" s="149">
        <f t="shared" si="32"/>
        <v>105.40951369974414</v>
      </c>
    </row>
    <row r="94" spans="1:8" ht="21.95" customHeight="1">
      <c r="A94" s="141" t="s">
        <v>18</v>
      </c>
      <c r="B94" s="139">
        <v>8031</v>
      </c>
      <c r="C94" s="98">
        <f t="shared" si="36"/>
        <v>41750</v>
      </c>
      <c r="D94" s="98">
        <f t="shared" si="36"/>
        <v>64350.000000000007</v>
      </c>
      <c r="E94" s="98">
        <f t="shared" si="36"/>
        <v>50000</v>
      </c>
      <c r="F94" s="98">
        <f t="shared" si="36"/>
        <v>64350.000000000007</v>
      </c>
      <c r="G94" s="150">
        <f t="shared" si="31"/>
        <v>14350.000000000007</v>
      </c>
      <c r="H94" s="150">
        <f t="shared" si="32"/>
        <v>128.70000000000002</v>
      </c>
    </row>
    <row r="95" spans="1:8" ht="21.95" customHeight="1">
      <c r="A95" s="141" t="s">
        <v>21</v>
      </c>
      <c r="B95" s="139">
        <v>8032</v>
      </c>
      <c r="C95" s="98">
        <f>(C91/C83)/6*1000</f>
        <v>16659.259259259263</v>
      </c>
      <c r="D95" s="98">
        <f t="shared" ref="D95:F96" si="37">(D91/D83)/6*1000</f>
        <v>24173.456790123455</v>
      </c>
      <c r="E95" s="98">
        <f>(E91/E83)/6*1000</f>
        <v>17901.234567901232</v>
      </c>
      <c r="F95" s="98">
        <f t="shared" si="37"/>
        <v>24173.456790123455</v>
      </c>
      <c r="G95" s="150">
        <f t="shared" si="31"/>
        <v>6272.2222222222226</v>
      </c>
      <c r="H95" s="150">
        <f t="shared" si="32"/>
        <v>135.03793103448277</v>
      </c>
    </row>
    <row r="96" spans="1:8" ht="21.95" customHeight="1">
      <c r="A96" s="141" t="s">
        <v>19</v>
      </c>
      <c r="B96" s="139">
        <v>8033</v>
      </c>
      <c r="C96" s="98">
        <f>(C92/C84)/6*1000</f>
        <v>11031.38629283489</v>
      </c>
      <c r="D96" s="98">
        <f t="shared" si="37"/>
        <v>16411.683599419448</v>
      </c>
      <c r="E96" s="98">
        <f>(E92/E84)/6*1000</f>
        <v>15776.858877086495</v>
      </c>
      <c r="F96" s="98">
        <f t="shared" si="37"/>
        <v>16411.683599419448</v>
      </c>
      <c r="G96" s="150">
        <f t="shared" si="31"/>
        <v>634.82472233295266</v>
      </c>
      <c r="H96" s="150">
        <f t="shared" si="32"/>
        <v>104.02377131771736</v>
      </c>
    </row>
    <row r="97" spans="1:8" s="112" customFormat="1" ht="112.5" customHeight="1">
      <c r="A97" s="151" t="s">
        <v>267</v>
      </c>
      <c r="B97" s="152"/>
      <c r="C97" s="248" t="s">
        <v>149</v>
      </c>
      <c r="D97" s="249"/>
      <c r="E97" s="153"/>
      <c r="F97" s="153"/>
      <c r="G97" s="250" t="s">
        <v>142</v>
      </c>
      <c r="H97" s="250"/>
    </row>
    <row r="98" spans="1:8" s="112" customFormat="1" ht="29.25" customHeight="1">
      <c r="A98" s="206" t="s">
        <v>8</v>
      </c>
      <c r="B98" s="154"/>
      <c r="C98" s="246" t="s">
        <v>9</v>
      </c>
      <c r="D98" s="246"/>
      <c r="E98" s="155"/>
      <c r="F98" s="155"/>
      <c r="G98" s="247" t="s">
        <v>13</v>
      </c>
      <c r="H98" s="247"/>
    </row>
    <row r="99" spans="1:8" s="112" customFormat="1">
      <c r="A99" s="4"/>
      <c r="C99" s="180"/>
      <c r="E99" s="179"/>
      <c r="F99" s="1"/>
      <c r="G99" s="1"/>
      <c r="H99" s="1"/>
    </row>
    <row r="100" spans="1:8" s="112" customFormat="1">
      <c r="A100" s="4"/>
      <c r="C100" s="180"/>
      <c r="E100" s="179"/>
      <c r="F100" s="1"/>
      <c r="G100" s="1"/>
      <c r="H100" s="1"/>
    </row>
    <row r="101" spans="1:8" s="112" customFormat="1">
      <c r="A101" s="4"/>
      <c r="C101" s="180"/>
      <c r="E101" s="179"/>
      <c r="F101" s="1"/>
      <c r="G101" s="1"/>
      <c r="H101" s="1"/>
    </row>
    <row r="102" spans="1:8" s="112" customFormat="1">
      <c r="A102" s="4"/>
      <c r="C102" s="180"/>
      <c r="E102" s="179"/>
      <c r="F102" s="1"/>
      <c r="G102" s="1"/>
      <c r="H102" s="1"/>
    </row>
    <row r="103" spans="1:8" s="112" customFormat="1">
      <c r="A103" s="4"/>
      <c r="C103" s="180"/>
      <c r="E103" s="179"/>
      <c r="F103" s="1"/>
      <c r="G103" s="1"/>
      <c r="H103" s="1"/>
    </row>
    <row r="104" spans="1:8" s="112" customFormat="1">
      <c r="A104" s="4"/>
      <c r="C104" s="180"/>
      <c r="E104" s="179"/>
      <c r="F104" s="1"/>
      <c r="G104" s="1"/>
      <c r="H104" s="1"/>
    </row>
    <row r="105" spans="1:8" s="112" customFormat="1">
      <c r="A105" s="4"/>
      <c r="C105" s="180"/>
      <c r="E105" s="179"/>
      <c r="F105" s="1"/>
      <c r="G105" s="1"/>
      <c r="H105" s="1"/>
    </row>
    <row r="106" spans="1:8" s="112" customFormat="1">
      <c r="A106" s="4"/>
      <c r="C106" s="180"/>
      <c r="E106" s="179"/>
      <c r="F106" s="1"/>
      <c r="G106" s="1"/>
      <c r="H106" s="1"/>
    </row>
    <row r="107" spans="1:8" s="112" customFormat="1">
      <c r="A107" s="4"/>
      <c r="C107" s="180"/>
      <c r="E107" s="179"/>
      <c r="F107" s="1"/>
      <c r="G107" s="1"/>
      <c r="H107" s="1"/>
    </row>
    <row r="108" spans="1:8" s="112" customFormat="1">
      <c r="A108" s="4"/>
      <c r="C108" s="180"/>
      <c r="E108" s="179"/>
      <c r="F108" s="1"/>
      <c r="G108" s="1"/>
      <c r="H108" s="1"/>
    </row>
    <row r="109" spans="1:8" s="112" customFormat="1">
      <c r="A109" s="4"/>
      <c r="C109" s="180"/>
      <c r="E109" s="179"/>
      <c r="F109" s="1"/>
      <c r="G109" s="1"/>
      <c r="H109" s="1"/>
    </row>
    <row r="110" spans="1:8" s="112" customFormat="1">
      <c r="A110" s="4"/>
      <c r="C110" s="180"/>
      <c r="E110" s="179"/>
      <c r="F110" s="1"/>
      <c r="G110" s="1"/>
      <c r="H110" s="1"/>
    </row>
    <row r="111" spans="1:8" s="112" customFormat="1">
      <c r="A111" s="4"/>
      <c r="C111" s="180"/>
      <c r="E111" s="179"/>
      <c r="F111" s="1"/>
      <c r="G111" s="1"/>
      <c r="H111" s="1"/>
    </row>
    <row r="112" spans="1:8" s="112" customFormat="1">
      <c r="A112" s="4"/>
      <c r="C112" s="180"/>
      <c r="E112" s="179"/>
      <c r="F112" s="1"/>
      <c r="G112" s="1"/>
      <c r="H112" s="1"/>
    </row>
    <row r="113" spans="1:8" s="112" customFormat="1">
      <c r="A113" s="4"/>
      <c r="C113" s="180"/>
      <c r="E113" s="179"/>
      <c r="F113" s="1"/>
      <c r="G113" s="1"/>
      <c r="H113" s="1"/>
    </row>
    <row r="114" spans="1:8" s="112" customFormat="1">
      <c r="A114" s="4"/>
      <c r="C114" s="180"/>
      <c r="E114" s="179"/>
      <c r="F114" s="1"/>
      <c r="G114" s="1"/>
      <c r="H114" s="1"/>
    </row>
    <row r="115" spans="1:8" s="112" customFormat="1">
      <c r="A115" s="4"/>
      <c r="C115" s="180"/>
      <c r="E115" s="179"/>
      <c r="F115" s="1"/>
      <c r="G115" s="1"/>
      <c r="H115" s="1"/>
    </row>
    <row r="116" spans="1:8" s="112" customFormat="1">
      <c r="A116" s="4"/>
      <c r="C116" s="180"/>
      <c r="E116" s="179"/>
      <c r="F116" s="1"/>
      <c r="G116" s="1"/>
      <c r="H116" s="1"/>
    </row>
    <row r="117" spans="1:8" s="112" customFormat="1">
      <c r="A117" s="4"/>
      <c r="C117" s="180"/>
      <c r="E117" s="179"/>
      <c r="F117" s="1"/>
      <c r="G117" s="1"/>
      <c r="H117" s="1"/>
    </row>
    <row r="118" spans="1:8" s="112" customFormat="1">
      <c r="A118" s="4"/>
      <c r="C118" s="180"/>
      <c r="E118" s="179"/>
      <c r="F118" s="1"/>
      <c r="G118" s="1"/>
      <c r="H118" s="1"/>
    </row>
    <row r="119" spans="1:8" s="112" customFormat="1">
      <c r="A119" s="4"/>
      <c r="C119" s="180"/>
      <c r="E119" s="179"/>
      <c r="F119" s="1"/>
      <c r="G119" s="1"/>
      <c r="H119" s="1"/>
    </row>
    <row r="120" spans="1:8" s="112" customFormat="1">
      <c r="A120" s="4"/>
      <c r="C120" s="180"/>
      <c r="E120" s="179"/>
      <c r="F120" s="1"/>
      <c r="G120" s="1"/>
      <c r="H120" s="1"/>
    </row>
    <row r="121" spans="1:8" s="112" customFormat="1">
      <c r="A121" s="4"/>
      <c r="C121" s="180"/>
      <c r="E121" s="179"/>
      <c r="F121" s="1"/>
      <c r="G121" s="1"/>
      <c r="H121" s="1"/>
    </row>
    <row r="122" spans="1:8" s="112" customFormat="1">
      <c r="A122" s="4"/>
      <c r="C122" s="180"/>
      <c r="E122" s="179"/>
      <c r="F122" s="1"/>
      <c r="G122" s="1"/>
      <c r="H122" s="1"/>
    </row>
    <row r="123" spans="1:8" s="112" customFormat="1">
      <c r="A123" s="4"/>
      <c r="C123" s="180"/>
      <c r="E123" s="179"/>
      <c r="F123" s="1"/>
      <c r="G123" s="1"/>
      <c r="H123" s="1"/>
    </row>
    <row r="124" spans="1:8" s="112" customFormat="1">
      <c r="A124" s="4"/>
      <c r="C124" s="180"/>
      <c r="E124" s="179"/>
      <c r="F124" s="1"/>
      <c r="G124" s="1"/>
      <c r="H124" s="1"/>
    </row>
    <row r="125" spans="1:8" s="112" customFormat="1">
      <c r="A125" s="4"/>
      <c r="C125" s="180"/>
      <c r="E125" s="179"/>
      <c r="F125" s="1"/>
      <c r="G125" s="1"/>
      <c r="H125" s="1"/>
    </row>
    <row r="126" spans="1:8" s="112" customFormat="1">
      <c r="A126" s="4"/>
      <c r="C126" s="180"/>
      <c r="E126" s="179"/>
      <c r="F126" s="1"/>
      <c r="G126" s="1"/>
      <c r="H126" s="1"/>
    </row>
    <row r="127" spans="1:8" s="112" customFormat="1">
      <c r="A127" s="4"/>
      <c r="C127" s="180"/>
      <c r="E127" s="179"/>
      <c r="F127" s="1"/>
      <c r="G127" s="1"/>
      <c r="H127" s="1"/>
    </row>
    <row r="128" spans="1:8" s="112" customFormat="1">
      <c r="A128" s="4"/>
      <c r="C128" s="180"/>
      <c r="E128" s="179"/>
      <c r="F128" s="1"/>
      <c r="G128" s="1"/>
      <c r="H128" s="1"/>
    </row>
    <row r="129" spans="1:8" s="112" customFormat="1">
      <c r="A129" s="4"/>
      <c r="C129" s="180"/>
      <c r="E129" s="179"/>
      <c r="F129" s="1"/>
      <c r="G129" s="1"/>
      <c r="H129" s="1"/>
    </row>
    <row r="130" spans="1:8" s="112" customFormat="1">
      <c r="A130" s="4"/>
      <c r="C130" s="180"/>
      <c r="E130" s="179"/>
      <c r="F130" s="1"/>
      <c r="G130" s="1"/>
      <c r="H130" s="1"/>
    </row>
    <row r="131" spans="1:8" s="112" customFormat="1">
      <c r="A131" s="4"/>
      <c r="C131" s="180"/>
      <c r="E131" s="179"/>
      <c r="F131" s="1"/>
      <c r="G131" s="1"/>
      <c r="H131" s="1"/>
    </row>
    <row r="132" spans="1:8" s="112" customFormat="1">
      <c r="A132" s="4"/>
      <c r="C132" s="180"/>
      <c r="E132" s="179"/>
      <c r="F132" s="1"/>
      <c r="G132" s="1"/>
      <c r="H132" s="1"/>
    </row>
    <row r="133" spans="1:8" s="112" customFormat="1">
      <c r="A133" s="4"/>
      <c r="C133" s="180"/>
      <c r="E133" s="179"/>
      <c r="F133" s="1"/>
      <c r="G133" s="1"/>
      <c r="H133" s="1"/>
    </row>
    <row r="134" spans="1:8" s="112" customFormat="1">
      <c r="A134" s="4"/>
      <c r="C134" s="180"/>
      <c r="E134" s="179"/>
      <c r="F134" s="1"/>
      <c r="G134" s="1"/>
      <c r="H134" s="1"/>
    </row>
    <row r="135" spans="1:8" s="112" customFormat="1">
      <c r="A135" s="4"/>
      <c r="C135" s="180"/>
      <c r="E135" s="179"/>
      <c r="F135" s="1"/>
      <c r="G135" s="1"/>
      <c r="H135" s="1"/>
    </row>
    <row r="136" spans="1:8" s="112" customFormat="1">
      <c r="A136" s="4"/>
      <c r="C136" s="180"/>
      <c r="E136" s="179"/>
      <c r="F136" s="1"/>
      <c r="G136" s="1"/>
      <c r="H136" s="1"/>
    </row>
    <row r="137" spans="1:8" s="112" customFormat="1">
      <c r="A137" s="4"/>
      <c r="C137" s="180"/>
      <c r="E137" s="179"/>
      <c r="F137" s="1"/>
      <c r="G137" s="1"/>
      <c r="H137" s="1"/>
    </row>
    <row r="138" spans="1:8" s="112" customFormat="1">
      <c r="A138" s="4"/>
      <c r="C138" s="180"/>
      <c r="E138" s="179"/>
      <c r="F138" s="1"/>
      <c r="G138" s="1"/>
      <c r="H138" s="1"/>
    </row>
    <row r="139" spans="1:8" s="112" customFormat="1">
      <c r="A139" s="4"/>
      <c r="C139" s="180"/>
      <c r="E139" s="179"/>
      <c r="F139" s="1"/>
      <c r="G139" s="1"/>
      <c r="H139" s="1"/>
    </row>
    <row r="140" spans="1:8" s="112" customFormat="1">
      <c r="A140" s="4"/>
      <c r="C140" s="180"/>
      <c r="E140" s="179"/>
      <c r="F140" s="1"/>
      <c r="G140" s="1"/>
      <c r="H140" s="1"/>
    </row>
    <row r="141" spans="1:8" s="112" customFormat="1">
      <c r="A141" s="4"/>
      <c r="C141" s="180"/>
      <c r="E141" s="179"/>
      <c r="F141" s="1"/>
      <c r="G141" s="1"/>
      <c r="H141" s="1"/>
    </row>
    <row r="142" spans="1:8" s="112" customFormat="1">
      <c r="A142" s="4"/>
      <c r="C142" s="180"/>
      <c r="E142" s="179"/>
      <c r="F142" s="1"/>
      <c r="G142" s="1"/>
      <c r="H142" s="1"/>
    </row>
    <row r="143" spans="1:8" s="112" customFormat="1">
      <c r="A143" s="4"/>
      <c r="C143" s="180"/>
      <c r="E143" s="179"/>
      <c r="F143" s="1"/>
      <c r="G143" s="1"/>
      <c r="H143" s="1"/>
    </row>
    <row r="144" spans="1:8" s="112" customFormat="1">
      <c r="A144" s="4"/>
      <c r="C144" s="180"/>
      <c r="E144" s="179"/>
      <c r="F144" s="1"/>
      <c r="G144" s="1"/>
      <c r="H144" s="1"/>
    </row>
    <row r="145" spans="1:8" s="112" customFormat="1">
      <c r="A145" s="4"/>
      <c r="C145" s="180"/>
      <c r="E145" s="179"/>
      <c r="F145" s="1"/>
      <c r="G145" s="1"/>
      <c r="H145" s="1"/>
    </row>
    <row r="146" spans="1:8" s="112" customFormat="1">
      <c r="A146" s="4"/>
      <c r="C146" s="180"/>
      <c r="E146" s="179"/>
      <c r="F146" s="1"/>
      <c r="G146" s="1"/>
      <c r="H146" s="1"/>
    </row>
    <row r="147" spans="1:8" s="112" customFormat="1">
      <c r="A147" s="4"/>
      <c r="C147" s="180"/>
      <c r="E147" s="179"/>
      <c r="F147" s="1"/>
      <c r="G147" s="1"/>
      <c r="H147" s="1"/>
    </row>
    <row r="148" spans="1:8" s="112" customFormat="1">
      <c r="A148" s="4"/>
      <c r="C148" s="180"/>
      <c r="E148" s="179"/>
      <c r="F148" s="1"/>
      <c r="G148" s="1"/>
      <c r="H148" s="1"/>
    </row>
    <row r="149" spans="1:8" s="112" customFormat="1">
      <c r="A149" s="4"/>
      <c r="C149" s="180"/>
      <c r="E149" s="179"/>
      <c r="F149" s="1"/>
      <c r="G149" s="1"/>
      <c r="H149" s="1"/>
    </row>
    <row r="150" spans="1:8" s="112" customFormat="1">
      <c r="A150" s="4"/>
      <c r="C150" s="180"/>
      <c r="E150" s="179"/>
      <c r="F150" s="1"/>
      <c r="G150" s="1"/>
      <c r="H150" s="1"/>
    </row>
    <row r="151" spans="1:8" s="112" customFormat="1">
      <c r="A151" s="4"/>
      <c r="C151" s="180"/>
      <c r="E151" s="179"/>
      <c r="F151" s="1"/>
      <c r="G151" s="1"/>
      <c r="H151" s="1"/>
    </row>
    <row r="152" spans="1:8" s="112" customFormat="1">
      <c r="A152" s="4"/>
      <c r="C152" s="180"/>
      <c r="E152" s="179"/>
      <c r="F152" s="1"/>
      <c r="G152" s="1"/>
      <c r="H152" s="1"/>
    </row>
    <row r="153" spans="1:8" s="112" customFormat="1">
      <c r="A153" s="4"/>
      <c r="C153" s="180"/>
      <c r="E153" s="179"/>
      <c r="F153" s="1"/>
      <c r="G153" s="1"/>
      <c r="H153" s="1"/>
    </row>
    <row r="154" spans="1:8" s="112" customFormat="1">
      <c r="A154" s="4"/>
      <c r="C154" s="180"/>
      <c r="E154" s="179"/>
      <c r="F154" s="1"/>
      <c r="G154" s="1"/>
      <c r="H154" s="1"/>
    </row>
    <row r="155" spans="1:8" s="112" customFormat="1">
      <c r="A155" s="4"/>
      <c r="C155" s="180"/>
      <c r="E155" s="179"/>
      <c r="F155" s="1"/>
      <c r="G155" s="1"/>
      <c r="H155" s="1"/>
    </row>
    <row r="156" spans="1:8" s="112" customFormat="1">
      <c r="A156" s="4"/>
      <c r="C156" s="180"/>
      <c r="E156" s="179"/>
      <c r="F156" s="1"/>
      <c r="G156" s="1"/>
      <c r="H156" s="1"/>
    </row>
    <row r="157" spans="1:8" s="112" customFormat="1">
      <c r="A157" s="4"/>
      <c r="C157" s="180"/>
      <c r="E157" s="179"/>
      <c r="F157" s="1"/>
      <c r="G157" s="1"/>
      <c r="H157" s="1"/>
    </row>
    <row r="158" spans="1:8" s="112" customFormat="1">
      <c r="A158" s="4"/>
      <c r="C158" s="180"/>
      <c r="E158" s="179"/>
      <c r="F158" s="1"/>
      <c r="G158" s="1"/>
      <c r="H158" s="1"/>
    </row>
    <row r="159" spans="1:8" s="112" customFormat="1">
      <c r="A159" s="4"/>
      <c r="C159" s="180"/>
      <c r="E159" s="179"/>
      <c r="F159" s="1"/>
      <c r="G159" s="1"/>
      <c r="H159" s="1"/>
    </row>
    <row r="160" spans="1:8" s="112" customFormat="1">
      <c r="A160" s="4"/>
      <c r="C160" s="180"/>
      <c r="E160" s="179"/>
      <c r="F160" s="1"/>
      <c r="G160" s="1"/>
      <c r="H160" s="1"/>
    </row>
    <row r="161" spans="1:8" s="112" customFormat="1">
      <c r="A161" s="4"/>
      <c r="C161" s="180"/>
      <c r="E161" s="179"/>
      <c r="F161" s="1"/>
      <c r="G161" s="1"/>
      <c r="H161" s="1"/>
    </row>
    <row r="162" spans="1:8" s="112" customFormat="1">
      <c r="A162" s="4"/>
      <c r="C162" s="180"/>
      <c r="E162" s="179"/>
      <c r="F162" s="1"/>
      <c r="G162" s="1"/>
      <c r="H162" s="1"/>
    </row>
    <row r="163" spans="1:8" s="112" customFormat="1">
      <c r="A163" s="4"/>
      <c r="C163" s="180"/>
      <c r="E163" s="179"/>
      <c r="F163" s="1"/>
      <c r="G163" s="1"/>
      <c r="H163" s="1"/>
    </row>
    <row r="164" spans="1:8" s="112" customFormat="1">
      <c r="A164" s="4"/>
      <c r="C164" s="180"/>
      <c r="E164" s="179"/>
      <c r="F164" s="1"/>
      <c r="G164" s="1"/>
      <c r="H164" s="1"/>
    </row>
    <row r="165" spans="1:8" s="112" customFormat="1">
      <c r="A165" s="4"/>
      <c r="C165" s="180"/>
      <c r="E165" s="179"/>
      <c r="F165" s="1"/>
      <c r="G165" s="1"/>
      <c r="H165" s="1"/>
    </row>
    <row r="166" spans="1:8" s="112" customFormat="1">
      <c r="A166" s="4"/>
      <c r="C166" s="180"/>
      <c r="E166" s="179"/>
      <c r="F166" s="1"/>
      <c r="G166" s="1"/>
      <c r="H166" s="1"/>
    </row>
    <row r="167" spans="1:8" s="112" customFormat="1">
      <c r="A167" s="4"/>
      <c r="C167" s="180"/>
      <c r="E167" s="179"/>
      <c r="F167" s="1"/>
      <c r="G167" s="1"/>
      <c r="H167" s="1"/>
    </row>
    <row r="168" spans="1:8" s="112" customFormat="1">
      <c r="A168" s="4"/>
      <c r="C168" s="180"/>
      <c r="E168" s="179"/>
      <c r="F168" s="1"/>
      <c r="G168" s="1"/>
      <c r="H168" s="1"/>
    </row>
    <row r="169" spans="1:8" s="112" customFormat="1">
      <c r="A169" s="4"/>
      <c r="C169" s="180"/>
      <c r="E169" s="179"/>
      <c r="F169" s="1"/>
      <c r="G169" s="1"/>
      <c r="H169" s="1"/>
    </row>
    <row r="170" spans="1:8" s="112" customFormat="1">
      <c r="A170" s="4"/>
      <c r="C170" s="180"/>
      <c r="E170" s="179"/>
      <c r="F170" s="1"/>
      <c r="G170" s="1"/>
      <c r="H170" s="1"/>
    </row>
    <row r="171" spans="1:8" s="112" customFormat="1">
      <c r="A171" s="4"/>
      <c r="C171" s="180"/>
      <c r="E171" s="179"/>
      <c r="F171" s="1"/>
      <c r="G171" s="1"/>
      <c r="H171" s="1"/>
    </row>
    <row r="172" spans="1:8" s="112" customFormat="1">
      <c r="A172" s="4"/>
      <c r="C172" s="180"/>
      <c r="E172" s="179"/>
      <c r="F172" s="1"/>
      <c r="G172" s="1"/>
      <c r="H172" s="1"/>
    </row>
    <row r="173" spans="1:8" s="112" customFormat="1">
      <c r="A173" s="4"/>
      <c r="C173" s="180"/>
      <c r="E173" s="179"/>
      <c r="F173" s="1"/>
      <c r="G173" s="1"/>
      <c r="H173" s="1"/>
    </row>
    <row r="174" spans="1:8" s="112" customFormat="1">
      <c r="A174" s="4"/>
      <c r="C174" s="180"/>
      <c r="E174" s="179"/>
      <c r="F174" s="1"/>
      <c r="G174" s="1"/>
      <c r="H174" s="1"/>
    </row>
    <row r="175" spans="1:8" s="112" customFormat="1">
      <c r="A175" s="4"/>
      <c r="C175" s="180"/>
      <c r="E175" s="179"/>
      <c r="F175" s="1"/>
      <c r="G175" s="1"/>
      <c r="H175" s="1"/>
    </row>
    <row r="176" spans="1:8" s="112" customFormat="1">
      <c r="A176" s="4"/>
      <c r="C176" s="180"/>
      <c r="E176" s="179"/>
      <c r="F176" s="1"/>
      <c r="G176" s="1"/>
      <c r="H176" s="1"/>
    </row>
    <row r="177" spans="1:8" s="112" customFormat="1">
      <c r="A177" s="4"/>
      <c r="C177" s="180"/>
      <c r="E177" s="179"/>
      <c r="F177" s="1"/>
      <c r="G177" s="1"/>
      <c r="H177" s="1"/>
    </row>
    <row r="178" spans="1:8" s="112" customFormat="1">
      <c r="A178" s="4"/>
      <c r="C178" s="180"/>
      <c r="E178" s="179"/>
      <c r="F178" s="1"/>
      <c r="G178" s="1"/>
      <c r="H178" s="1"/>
    </row>
    <row r="179" spans="1:8" s="112" customFormat="1">
      <c r="A179" s="4"/>
      <c r="C179" s="180"/>
      <c r="E179" s="179"/>
      <c r="F179" s="1"/>
      <c r="G179" s="1"/>
      <c r="H179" s="1"/>
    </row>
    <row r="180" spans="1:8" s="112" customFormat="1">
      <c r="A180" s="4"/>
      <c r="C180" s="180"/>
      <c r="E180" s="179"/>
      <c r="F180" s="1"/>
      <c r="G180" s="1"/>
      <c r="H180" s="1"/>
    </row>
    <row r="181" spans="1:8" s="112" customFormat="1">
      <c r="A181" s="4"/>
      <c r="C181" s="180"/>
      <c r="E181" s="179"/>
      <c r="F181" s="1"/>
      <c r="G181" s="1"/>
      <c r="H181" s="1"/>
    </row>
    <row r="182" spans="1:8" s="112" customFormat="1">
      <c r="A182" s="4"/>
      <c r="C182" s="180"/>
      <c r="E182" s="179"/>
      <c r="F182" s="1"/>
      <c r="G182" s="1"/>
      <c r="H182" s="1"/>
    </row>
    <row r="183" spans="1:8" s="112" customFormat="1">
      <c r="A183" s="4"/>
      <c r="C183" s="180"/>
      <c r="E183" s="179"/>
      <c r="F183" s="1"/>
      <c r="G183" s="1"/>
      <c r="H183" s="1"/>
    </row>
    <row r="184" spans="1:8" s="112" customFormat="1">
      <c r="A184" s="4"/>
      <c r="C184" s="180"/>
      <c r="E184" s="179"/>
      <c r="F184" s="1"/>
      <c r="G184" s="1"/>
      <c r="H184" s="1"/>
    </row>
    <row r="185" spans="1:8" s="112" customFormat="1">
      <c r="A185" s="4"/>
      <c r="C185" s="180"/>
      <c r="E185" s="179"/>
      <c r="F185" s="1"/>
      <c r="G185" s="1"/>
      <c r="H185" s="1"/>
    </row>
    <row r="186" spans="1:8" s="112" customFormat="1">
      <c r="A186" s="4"/>
      <c r="C186" s="180"/>
      <c r="E186" s="179"/>
      <c r="F186" s="1"/>
      <c r="G186" s="1"/>
      <c r="H186" s="1"/>
    </row>
    <row r="187" spans="1:8" s="112" customFormat="1">
      <c r="A187" s="4"/>
      <c r="C187" s="180"/>
      <c r="E187" s="179"/>
      <c r="F187" s="1"/>
      <c r="G187" s="1"/>
      <c r="H187" s="1"/>
    </row>
    <row r="188" spans="1:8" s="112" customFormat="1">
      <c r="A188" s="4"/>
      <c r="C188" s="180"/>
      <c r="E188" s="179"/>
      <c r="F188" s="1"/>
      <c r="G188" s="1"/>
      <c r="H188" s="1"/>
    </row>
    <row r="189" spans="1:8" s="112" customFormat="1">
      <c r="A189" s="4"/>
      <c r="C189" s="180"/>
      <c r="E189" s="179"/>
      <c r="F189" s="1"/>
      <c r="G189" s="1"/>
      <c r="H189" s="1"/>
    </row>
    <row r="190" spans="1:8" s="112" customFormat="1">
      <c r="A190" s="4"/>
      <c r="C190" s="180"/>
      <c r="E190" s="179"/>
      <c r="F190" s="1"/>
      <c r="G190" s="1"/>
      <c r="H190" s="1"/>
    </row>
    <row r="191" spans="1:8" s="112" customFormat="1">
      <c r="A191" s="4"/>
      <c r="C191" s="180"/>
      <c r="E191" s="179"/>
      <c r="F191" s="1"/>
      <c r="G191" s="1"/>
      <c r="H191" s="1"/>
    </row>
    <row r="192" spans="1:8" s="112" customFormat="1">
      <c r="A192" s="4"/>
      <c r="C192" s="180"/>
      <c r="E192" s="179"/>
      <c r="F192" s="1"/>
      <c r="G192" s="1"/>
      <c r="H192" s="1"/>
    </row>
    <row r="193" spans="1:8" s="112" customFormat="1">
      <c r="A193" s="4"/>
      <c r="C193" s="180"/>
      <c r="E193" s="179"/>
      <c r="F193" s="1"/>
      <c r="G193" s="1"/>
      <c r="H193" s="1"/>
    </row>
    <row r="194" spans="1:8" s="112" customFormat="1">
      <c r="A194" s="4"/>
      <c r="C194" s="180"/>
      <c r="E194" s="179"/>
      <c r="F194" s="1"/>
      <c r="G194" s="1"/>
      <c r="H194" s="1"/>
    </row>
    <row r="195" spans="1:8" s="112" customFormat="1">
      <c r="A195" s="4"/>
      <c r="C195" s="180"/>
      <c r="E195" s="179"/>
      <c r="F195" s="1"/>
      <c r="G195" s="1"/>
      <c r="H195" s="1"/>
    </row>
    <row r="196" spans="1:8" s="112" customFormat="1">
      <c r="A196" s="4"/>
      <c r="C196" s="180"/>
      <c r="E196" s="179"/>
      <c r="F196" s="1"/>
      <c r="G196" s="1"/>
      <c r="H196" s="1"/>
    </row>
    <row r="197" spans="1:8" s="112" customFormat="1">
      <c r="A197" s="4"/>
      <c r="C197" s="180"/>
      <c r="E197" s="179"/>
      <c r="F197" s="1"/>
      <c r="G197" s="1"/>
      <c r="H197" s="1"/>
    </row>
    <row r="198" spans="1:8" s="112" customFormat="1">
      <c r="A198" s="4"/>
      <c r="C198" s="180"/>
      <c r="E198" s="179"/>
      <c r="F198" s="1"/>
      <c r="G198" s="1"/>
      <c r="H198" s="1"/>
    </row>
    <row r="199" spans="1:8" s="112" customFormat="1">
      <c r="A199" s="4"/>
      <c r="C199" s="180"/>
      <c r="E199" s="179"/>
      <c r="F199" s="1"/>
      <c r="G199" s="1"/>
      <c r="H199" s="1"/>
    </row>
    <row r="200" spans="1:8" s="112" customFormat="1">
      <c r="A200" s="4"/>
      <c r="C200" s="180"/>
      <c r="E200" s="179"/>
      <c r="F200" s="1"/>
      <c r="G200" s="1"/>
      <c r="H200" s="1"/>
    </row>
    <row r="201" spans="1:8" s="112" customFormat="1">
      <c r="A201" s="4"/>
      <c r="C201" s="180"/>
      <c r="E201" s="179"/>
      <c r="F201" s="1"/>
      <c r="G201" s="1"/>
      <c r="H201" s="1"/>
    </row>
    <row r="202" spans="1:8" s="112" customFormat="1">
      <c r="A202" s="4"/>
      <c r="C202" s="180"/>
      <c r="E202" s="179"/>
      <c r="F202" s="1"/>
      <c r="G202" s="1"/>
      <c r="H202" s="1"/>
    </row>
    <row r="203" spans="1:8" s="112" customFormat="1">
      <c r="A203" s="4"/>
      <c r="C203" s="180"/>
      <c r="E203" s="179"/>
      <c r="F203" s="1"/>
      <c r="G203" s="1"/>
      <c r="H203" s="1"/>
    </row>
    <row r="204" spans="1:8" s="112" customFormat="1">
      <c r="A204" s="4"/>
      <c r="C204" s="180"/>
      <c r="E204" s="179"/>
      <c r="F204" s="1"/>
      <c r="G204" s="1"/>
      <c r="H204" s="1"/>
    </row>
    <row r="205" spans="1:8" s="112" customFormat="1">
      <c r="A205" s="4"/>
      <c r="C205" s="180"/>
      <c r="E205" s="179"/>
      <c r="F205" s="1"/>
      <c r="G205" s="1"/>
      <c r="H205" s="1"/>
    </row>
    <row r="206" spans="1:8" s="112" customFormat="1">
      <c r="A206" s="4"/>
      <c r="C206" s="180"/>
      <c r="E206" s="179"/>
      <c r="F206" s="1"/>
      <c r="G206" s="1"/>
      <c r="H206" s="1"/>
    </row>
    <row r="207" spans="1:8" s="112" customFormat="1">
      <c r="A207" s="4"/>
      <c r="C207" s="180"/>
      <c r="E207" s="179"/>
      <c r="F207" s="1"/>
      <c r="G207" s="1"/>
      <c r="H207" s="1"/>
    </row>
    <row r="208" spans="1:8" s="112" customFormat="1">
      <c r="A208" s="4"/>
      <c r="C208" s="180"/>
      <c r="E208" s="179"/>
      <c r="F208" s="1"/>
      <c r="G208" s="1"/>
      <c r="H208" s="1"/>
    </row>
    <row r="209" spans="1:8" s="112" customFormat="1">
      <c r="A209" s="4"/>
      <c r="C209" s="180"/>
      <c r="E209" s="179"/>
      <c r="F209" s="1"/>
      <c r="G209" s="1"/>
      <c r="H209" s="1"/>
    </row>
    <row r="210" spans="1:8" s="112" customFormat="1">
      <c r="A210" s="4"/>
      <c r="C210" s="180"/>
      <c r="E210" s="179"/>
      <c r="F210" s="1"/>
      <c r="G210" s="1"/>
      <c r="H210" s="1"/>
    </row>
    <row r="211" spans="1:8" s="112" customFormat="1">
      <c r="A211" s="4"/>
      <c r="C211" s="180"/>
      <c r="E211" s="179"/>
      <c r="F211" s="1"/>
      <c r="G211" s="1"/>
      <c r="H211" s="1"/>
    </row>
    <row r="212" spans="1:8" s="112" customFormat="1">
      <c r="A212" s="4"/>
      <c r="C212" s="180"/>
      <c r="E212" s="179"/>
      <c r="F212" s="1"/>
      <c r="G212" s="1"/>
      <c r="H212" s="1"/>
    </row>
    <row r="213" spans="1:8" s="112" customFormat="1">
      <c r="A213" s="4"/>
      <c r="C213" s="180"/>
      <c r="E213" s="179"/>
      <c r="F213" s="1"/>
      <c r="G213" s="1"/>
      <c r="H213" s="1"/>
    </row>
    <row r="214" spans="1:8" s="112" customFormat="1">
      <c r="A214" s="4"/>
      <c r="C214" s="180"/>
      <c r="E214" s="179"/>
      <c r="F214" s="1"/>
      <c r="G214" s="1"/>
      <c r="H214" s="1"/>
    </row>
    <row r="215" spans="1:8" s="112" customFormat="1">
      <c r="A215" s="4"/>
      <c r="C215" s="180"/>
      <c r="E215" s="179"/>
      <c r="F215" s="1"/>
      <c r="G215" s="1"/>
      <c r="H215" s="1"/>
    </row>
    <row r="216" spans="1:8" s="112" customFormat="1">
      <c r="A216" s="4"/>
      <c r="C216" s="180"/>
      <c r="E216" s="179"/>
      <c r="F216" s="1"/>
      <c r="G216" s="1"/>
      <c r="H216" s="1"/>
    </row>
    <row r="217" spans="1:8" s="112" customFormat="1">
      <c r="A217" s="4"/>
      <c r="C217" s="180"/>
      <c r="E217" s="179"/>
      <c r="F217" s="1"/>
      <c r="G217" s="1"/>
      <c r="H217" s="1"/>
    </row>
    <row r="218" spans="1:8" s="112" customFormat="1">
      <c r="A218" s="4"/>
      <c r="C218" s="180"/>
      <c r="E218" s="179"/>
      <c r="F218" s="1"/>
      <c r="G218" s="1"/>
      <c r="H218" s="1"/>
    </row>
    <row r="219" spans="1:8" s="112" customFormat="1">
      <c r="A219" s="4"/>
      <c r="C219" s="180"/>
      <c r="E219" s="179"/>
      <c r="F219" s="1"/>
      <c r="G219" s="1"/>
      <c r="H219" s="1"/>
    </row>
    <row r="220" spans="1:8" s="112" customFormat="1">
      <c r="A220" s="4"/>
      <c r="C220" s="180"/>
      <c r="E220" s="179"/>
      <c r="F220" s="1"/>
      <c r="G220" s="1"/>
      <c r="H220" s="1"/>
    </row>
    <row r="221" spans="1:8" s="112" customFormat="1">
      <c r="A221" s="4"/>
      <c r="C221" s="180"/>
      <c r="E221" s="179"/>
      <c r="F221" s="1"/>
      <c r="G221" s="1"/>
      <c r="H221" s="1"/>
    </row>
    <row r="222" spans="1:8" s="112" customFormat="1">
      <c r="A222" s="4"/>
      <c r="C222" s="180"/>
      <c r="E222" s="179"/>
      <c r="F222" s="1"/>
      <c r="G222" s="1"/>
      <c r="H222" s="1"/>
    </row>
    <row r="223" spans="1:8" s="112" customFormat="1">
      <c r="A223" s="4"/>
      <c r="C223" s="180"/>
      <c r="E223" s="179"/>
      <c r="F223" s="1"/>
      <c r="G223" s="1"/>
      <c r="H223" s="1"/>
    </row>
    <row r="224" spans="1:8" s="112" customFormat="1">
      <c r="A224" s="4"/>
      <c r="C224" s="180"/>
      <c r="E224" s="179"/>
      <c r="F224" s="1"/>
      <c r="G224" s="1"/>
      <c r="H224" s="1"/>
    </row>
    <row r="225" spans="1:8" s="112" customFormat="1">
      <c r="A225" s="4"/>
      <c r="C225" s="180"/>
      <c r="E225" s="179"/>
      <c r="F225" s="1"/>
      <c r="G225" s="1"/>
      <c r="H225" s="1"/>
    </row>
    <row r="226" spans="1:8" s="112" customFormat="1">
      <c r="A226" s="4"/>
      <c r="C226" s="180"/>
      <c r="E226" s="179"/>
      <c r="F226" s="1"/>
      <c r="G226" s="1"/>
      <c r="H226" s="1"/>
    </row>
    <row r="227" spans="1:8" s="112" customFormat="1">
      <c r="A227" s="4"/>
      <c r="C227" s="180"/>
      <c r="E227" s="179"/>
      <c r="F227" s="1"/>
      <c r="G227" s="1"/>
      <c r="H227" s="1"/>
    </row>
    <row r="228" spans="1:8" s="112" customFormat="1">
      <c r="A228" s="4"/>
      <c r="C228" s="180"/>
      <c r="E228" s="179"/>
      <c r="F228" s="1"/>
      <c r="G228" s="1"/>
      <c r="H228" s="1"/>
    </row>
    <row r="229" spans="1:8" s="112" customFormat="1">
      <c r="A229" s="4"/>
      <c r="C229" s="180"/>
      <c r="E229" s="179"/>
      <c r="F229" s="1"/>
      <c r="G229" s="1"/>
      <c r="H229" s="1"/>
    </row>
    <row r="230" spans="1:8" s="112" customFormat="1">
      <c r="A230" s="4"/>
      <c r="C230" s="180"/>
      <c r="E230" s="179"/>
      <c r="F230" s="1"/>
      <c r="G230" s="1"/>
      <c r="H230" s="1"/>
    </row>
    <row r="231" spans="1:8" s="112" customFormat="1">
      <c r="A231" s="4"/>
      <c r="C231" s="180"/>
      <c r="E231" s="179"/>
      <c r="F231" s="1"/>
      <c r="G231" s="1"/>
      <c r="H231" s="1"/>
    </row>
    <row r="232" spans="1:8" s="112" customFormat="1">
      <c r="A232" s="4"/>
      <c r="C232" s="180"/>
      <c r="E232" s="179"/>
      <c r="F232" s="1"/>
      <c r="G232" s="1"/>
      <c r="H232" s="1"/>
    </row>
    <row r="233" spans="1:8" s="112" customFormat="1">
      <c r="A233" s="4"/>
      <c r="C233" s="180"/>
      <c r="E233" s="179"/>
      <c r="F233" s="1"/>
      <c r="G233" s="1"/>
      <c r="H233" s="1"/>
    </row>
    <row r="234" spans="1:8" s="112" customFormat="1">
      <c r="A234" s="4"/>
      <c r="C234" s="180"/>
      <c r="E234" s="179"/>
      <c r="F234" s="1"/>
      <c r="G234" s="1"/>
      <c r="H234" s="1"/>
    </row>
    <row r="235" spans="1:8" s="112" customFormat="1">
      <c r="A235" s="4"/>
      <c r="C235" s="180"/>
      <c r="E235" s="179"/>
      <c r="F235" s="1"/>
      <c r="G235" s="1"/>
      <c r="H235" s="1"/>
    </row>
    <row r="236" spans="1:8" s="112" customFormat="1">
      <c r="A236" s="4"/>
      <c r="C236" s="180"/>
      <c r="E236" s="179"/>
      <c r="F236" s="1"/>
      <c r="G236" s="1"/>
      <c r="H236" s="1"/>
    </row>
    <row r="237" spans="1:8" s="112" customFormat="1">
      <c r="A237" s="4"/>
      <c r="C237" s="180"/>
      <c r="E237" s="179"/>
      <c r="F237" s="1"/>
      <c r="G237" s="1"/>
      <c r="H237" s="1"/>
    </row>
    <row r="238" spans="1:8" s="112" customFormat="1">
      <c r="A238" s="4"/>
      <c r="C238" s="180"/>
      <c r="E238" s="179"/>
      <c r="F238" s="1"/>
      <c r="G238" s="1"/>
      <c r="H238" s="1"/>
    </row>
    <row r="239" spans="1:8" s="112" customFormat="1">
      <c r="A239" s="4"/>
      <c r="C239" s="180"/>
      <c r="E239" s="179"/>
      <c r="F239" s="1"/>
      <c r="G239" s="1"/>
      <c r="H239" s="1"/>
    </row>
    <row r="240" spans="1:8" s="112" customFormat="1">
      <c r="A240" s="4"/>
      <c r="C240" s="180"/>
      <c r="E240" s="179"/>
      <c r="F240" s="1"/>
      <c r="G240" s="1"/>
      <c r="H240" s="1"/>
    </row>
    <row r="241" spans="1:8" s="112" customFormat="1">
      <c r="A241" s="4"/>
      <c r="C241" s="180"/>
      <c r="E241" s="179"/>
      <c r="F241" s="1"/>
      <c r="G241" s="1"/>
      <c r="H241" s="1"/>
    </row>
    <row r="242" spans="1:8" s="112" customFormat="1">
      <c r="A242" s="4"/>
      <c r="C242" s="180"/>
      <c r="E242" s="179"/>
      <c r="F242" s="1"/>
      <c r="G242" s="1"/>
      <c r="H242" s="1"/>
    </row>
    <row r="243" spans="1:8" s="112" customFormat="1">
      <c r="A243" s="4"/>
      <c r="C243" s="180"/>
      <c r="E243" s="179"/>
      <c r="F243" s="1"/>
      <c r="G243" s="1"/>
      <c r="H243" s="1"/>
    </row>
    <row r="244" spans="1:8" s="112" customFormat="1">
      <c r="A244" s="4"/>
      <c r="C244" s="180"/>
      <c r="E244" s="179"/>
      <c r="F244" s="1"/>
      <c r="G244" s="1"/>
      <c r="H244" s="1"/>
    </row>
    <row r="245" spans="1:8" s="112" customFormat="1">
      <c r="A245" s="4"/>
      <c r="C245" s="180"/>
      <c r="E245" s="179"/>
      <c r="F245" s="1"/>
      <c r="G245" s="1"/>
      <c r="H245" s="1"/>
    </row>
    <row r="246" spans="1:8" s="112" customFormat="1">
      <c r="A246" s="4"/>
      <c r="C246" s="180"/>
      <c r="E246" s="179"/>
      <c r="F246" s="1"/>
      <c r="G246" s="1"/>
      <c r="H246" s="1"/>
    </row>
    <row r="247" spans="1:8" s="112" customFormat="1">
      <c r="A247" s="4"/>
      <c r="C247" s="180"/>
      <c r="E247" s="179"/>
      <c r="F247" s="1"/>
      <c r="G247" s="1"/>
      <c r="H247" s="1"/>
    </row>
    <row r="248" spans="1:8" s="112" customFormat="1">
      <c r="A248" s="4"/>
      <c r="C248" s="180"/>
      <c r="E248" s="179"/>
      <c r="F248" s="1"/>
      <c r="G248" s="1"/>
      <c r="H248" s="1"/>
    </row>
    <row r="249" spans="1:8" s="112" customFormat="1">
      <c r="A249" s="4"/>
      <c r="C249" s="180"/>
      <c r="E249" s="179"/>
      <c r="F249" s="1"/>
      <c r="G249" s="1"/>
      <c r="H249" s="1"/>
    </row>
  </sheetData>
  <mergeCells count="22">
    <mergeCell ref="A2:H2"/>
    <mergeCell ref="A1:H1"/>
    <mergeCell ref="A51:H51"/>
    <mergeCell ref="A69:H69"/>
    <mergeCell ref="A4:A5"/>
    <mergeCell ref="B4:B5"/>
    <mergeCell ref="A7:H7"/>
    <mergeCell ref="E4:H4"/>
    <mergeCell ref="C4:D4"/>
    <mergeCell ref="A44:H44"/>
    <mergeCell ref="C98:D98"/>
    <mergeCell ref="G98:H98"/>
    <mergeCell ref="C97:D97"/>
    <mergeCell ref="G97:H97"/>
    <mergeCell ref="A78:H78"/>
    <mergeCell ref="C79:D79"/>
    <mergeCell ref="E79:E80"/>
    <mergeCell ref="F79:F80"/>
    <mergeCell ref="G79:G80"/>
    <mergeCell ref="H79:H80"/>
    <mergeCell ref="A79:A80"/>
    <mergeCell ref="B79:B80"/>
  </mergeCells>
  <phoneticPr fontId="3" type="noConversion"/>
  <pageMargins left="0.82677165354330717" right="0.35433070866141736" top="0.78740157480314965" bottom="0.78740157480314965" header="0.39370078740157483" footer="0.19685039370078741"/>
  <pageSetup paperSize="9" scale="85" orientation="landscape" verticalDpi="300" r:id="rId1"/>
  <headerFooter alignWithMargins="0"/>
  <rowBreaks count="4" manualBreakCount="4">
    <brk id="17" max="7" man="1"/>
    <brk id="34" max="7" man="1"/>
    <brk id="65" max="7" man="1"/>
    <brk id="77" max="7" man="1"/>
  </rowBreaks>
  <ignoredErrors>
    <ignoredError sqref="B81:B8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H213"/>
  <sheetViews>
    <sheetView view="pageBreakPreview" topLeftCell="A7" zoomScale="80" zoomScaleSheetLayoutView="80" workbookViewId="0">
      <selection activeCell="F16" sqref="F16"/>
    </sheetView>
  </sheetViews>
  <sheetFormatPr defaultRowHeight="18.75"/>
  <cols>
    <col min="1" max="1" width="4" style="5" customWidth="1"/>
    <col min="2" max="2" width="57.28515625" style="5" customWidth="1"/>
    <col min="3" max="3" width="7.42578125" style="113" customWidth="1"/>
    <col min="4" max="4" width="13.5703125" style="156" customWidth="1"/>
    <col min="5" max="5" width="14.42578125" style="156" customWidth="1"/>
    <col min="6" max="6" width="14.85546875" style="178" customWidth="1"/>
    <col min="7" max="7" width="13.85546875" style="6" customWidth="1"/>
    <col min="8" max="8" width="11.5703125" style="6" customWidth="1"/>
    <col min="9" max="16384" width="9.140625" style="5"/>
  </cols>
  <sheetData>
    <row r="1" spans="1:8" ht="29.25" customHeight="1">
      <c r="A1" s="275" t="s">
        <v>86</v>
      </c>
      <c r="B1" s="275"/>
      <c r="C1" s="275"/>
      <c r="D1" s="275"/>
      <c r="E1" s="275"/>
      <c r="F1" s="275"/>
      <c r="G1" s="275"/>
      <c r="H1" s="275"/>
    </row>
    <row r="2" spans="1:8">
      <c r="B2" s="101"/>
      <c r="C2" s="212"/>
      <c r="D2" s="211"/>
      <c r="E2" s="211"/>
      <c r="F2" s="211"/>
      <c r="H2" s="6" t="s">
        <v>59</v>
      </c>
    </row>
    <row r="3" spans="1:8" s="6" customFormat="1" ht="60.75" customHeight="1">
      <c r="A3" s="41" t="s">
        <v>6</v>
      </c>
      <c r="B3" s="10" t="s">
        <v>20</v>
      </c>
      <c r="C3" s="41" t="s">
        <v>4</v>
      </c>
      <c r="D3" s="13" t="s">
        <v>320</v>
      </c>
      <c r="E3" s="12" t="s">
        <v>321</v>
      </c>
      <c r="F3" s="13" t="s">
        <v>322</v>
      </c>
      <c r="G3" s="13" t="s">
        <v>217</v>
      </c>
      <c r="H3" s="13" t="s">
        <v>218</v>
      </c>
    </row>
    <row r="4" spans="1:8" s="18" customFormat="1" ht="15" customHeight="1">
      <c r="A4" s="115">
        <v>1</v>
      </c>
      <c r="B4" s="23">
        <v>2</v>
      </c>
      <c r="C4" s="23">
        <v>3</v>
      </c>
      <c r="D4" s="23">
        <v>4</v>
      </c>
      <c r="E4" s="23">
        <v>5</v>
      </c>
      <c r="F4" s="23">
        <v>6</v>
      </c>
      <c r="G4" s="105">
        <v>7</v>
      </c>
      <c r="H4" s="75">
        <v>8</v>
      </c>
    </row>
    <row r="5" spans="1:8" ht="24" customHeight="1">
      <c r="A5" s="281" t="s">
        <v>68</v>
      </c>
      <c r="B5" s="282"/>
      <c r="C5" s="10"/>
      <c r="D5" s="218">
        <f>D6+D10+D18+D20</f>
        <v>78128.5</v>
      </c>
      <c r="E5" s="218">
        <f>E6+E10+E18+E20</f>
        <v>112321.70000000001</v>
      </c>
      <c r="F5" s="218">
        <f>F6+F10+F18+F20</f>
        <v>146826.20000000001</v>
      </c>
      <c r="G5" s="21">
        <f t="shared" ref="G5:G20" si="0">F5-E5</f>
        <v>34504.5</v>
      </c>
      <c r="H5" s="21">
        <f t="shared" ref="H5:H15" si="1">(F5/E5)*100</f>
        <v>130.7193534285895</v>
      </c>
    </row>
    <row r="6" spans="1:8" ht="36" customHeight="1">
      <c r="A6" s="283" t="s">
        <v>67</v>
      </c>
      <c r="B6" s="284"/>
      <c r="C6" s="17">
        <v>1000</v>
      </c>
      <c r="D6" s="42">
        <f>D7+D8+D9</f>
        <v>64300.299999999996</v>
      </c>
      <c r="E6" s="42">
        <f>E7+E8+E9</f>
        <v>93902</v>
      </c>
      <c r="F6" s="42">
        <f>F7+F8+F9</f>
        <v>120590.9</v>
      </c>
      <c r="G6" s="21">
        <f t="shared" si="0"/>
        <v>26688.899999999994</v>
      </c>
      <c r="H6" s="21">
        <f t="shared" si="1"/>
        <v>128.42207833698961</v>
      </c>
    </row>
    <row r="7" spans="1:8" ht="39" customHeight="1">
      <c r="A7" s="52">
        <v>1</v>
      </c>
      <c r="B7" s="20" t="s">
        <v>109</v>
      </c>
      <c r="C7" s="10"/>
      <c r="D7" s="26">
        <v>64227.9</v>
      </c>
      <c r="E7" s="174">
        <v>93820</v>
      </c>
      <c r="F7" s="26">
        <v>120524.5</v>
      </c>
      <c r="G7" s="53">
        <f t="shared" si="0"/>
        <v>26704.5</v>
      </c>
      <c r="H7" s="53">
        <f t="shared" si="1"/>
        <v>128.46354721807717</v>
      </c>
    </row>
    <row r="8" spans="1:8" ht="57.75" customHeight="1">
      <c r="A8" s="52">
        <v>2</v>
      </c>
      <c r="B8" s="20" t="s">
        <v>236</v>
      </c>
      <c r="C8" s="17"/>
      <c r="D8" s="26">
        <v>53.2</v>
      </c>
      <c r="E8" s="174">
        <v>82</v>
      </c>
      <c r="F8" s="26">
        <v>66.400000000000006</v>
      </c>
      <c r="G8" s="53">
        <f t="shared" si="0"/>
        <v>-15.599999999999994</v>
      </c>
      <c r="H8" s="21"/>
    </row>
    <row r="9" spans="1:8" ht="39.75" customHeight="1">
      <c r="A9" s="52">
        <v>3</v>
      </c>
      <c r="B9" s="20" t="s">
        <v>255</v>
      </c>
      <c r="C9" s="10"/>
      <c r="D9" s="26">
        <v>19.2</v>
      </c>
      <c r="E9" s="26"/>
      <c r="F9" s="26"/>
      <c r="G9" s="53">
        <f t="shared" si="0"/>
        <v>0</v>
      </c>
      <c r="H9" s="21"/>
    </row>
    <row r="10" spans="1:8" ht="20.25" customHeight="1">
      <c r="A10" s="283" t="s">
        <v>31</v>
      </c>
      <c r="B10" s="284"/>
      <c r="C10" s="17">
        <v>1040</v>
      </c>
      <c r="D10" s="42">
        <f>SUM(D11:D17)</f>
        <v>12328.2</v>
      </c>
      <c r="E10" s="42">
        <f>SUM(E11:E17)</f>
        <v>12371.1</v>
      </c>
      <c r="F10" s="42">
        <f>SUM(F11:F17)</f>
        <v>15304.199999999999</v>
      </c>
      <c r="G10" s="21">
        <f t="shared" si="0"/>
        <v>2933.0999999999985</v>
      </c>
      <c r="H10" s="21">
        <f t="shared" si="1"/>
        <v>123.70929020054804</v>
      </c>
    </row>
    <row r="11" spans="1:8" ht="21" customHeight="1">
      <c r="A11" s="10">
        <v>1</v>
      </c>
      <c r="B11" s="20" t="s">
        <v>110</v>
      </c>
      <c r="C11" s="17"/>
      <c r="D11" s="26"/>
      <c r="E11" s="26"/>
      <c r="F11" s="186"/>
      <c r="G11" s="53">
        <f t="shared" si="0"/>
        <v>0</v>
      </c>
      <c r="H11" s="53"/>
    </row>
    <row r="12" spans="1:8" ht="57.75" customHeight="1">
      <c r="A12" s="10">
        <v>2</v>
      </c>
      <c r="B12" s="84" t="s">
        <v>234</v>
      </c>
      <c r="C12" s="17"/>
      <c r="D12" s="26">
        <v>9637.2000000000007</v>
      </c>
      <c r="E12" s="99">
        <v>12002.6</v>
      </c>
      <c r="F12" s="26">
        <v>10842</v>
      </c>
      <c r="G12" s="53">
        <f t="shared" si="0"/>
        <v>-1160.6000000000004</v>
      </c>
      <c r="H12" s="53">
        <f t="shared" si="1"/>
        <v>90.330428407178445</v>
      </c>
    </row>
    <row r="13" spans="1:8" ht="24" customHeight="1">
      <c r="A13" s="10">
        <v>3</v>
      </c>
      <c r="B13" s="20" t="s">
        <v>170</v>
      </c>
      <c r="C13" s="17"/>
      <c r="D13" s="26">
        <v>179</v>
      </c>
      <c r="E13" s="99">
        <v>268.39999999999998</v>
      </c>
      <c r="F13" s="26"/>
      <c r="G13" s="53">
        <f t="shared" si="0"/>
        <v>-268.39999999999998</v>
      </c>
      <c r="H13" s="53"/>
    </row>
    <row r="14" spans="1:8" ht="24" customHeight="1">
      <c r="A14" s="10">
        <v>4</v>
      </c>
      <c r="B14" s="20" t="s">
        <v>237</v>
      </c>
      <c r="C14" s="17"/>
      <c r="D14" s="26">
        <v>83</v>
      </c>
      <c r="E14" s="175">
        <v>90.1</v>
      </c>
      <c r="F14" s="26">
        <v>97.8</v>
      </c>
      <c r="G14" s="53">
        <f t="shared" si="0"/>
        <v>7.7000000000000028</v>
      </c>
      <c r="H14" s="53">
        <f t="shared" si="1"/>
        <v>108.54605993340734</v>
      </c>
    </row>
    <row r="15" spans="1:8" ht="24.75" customHeight="1">
      <c r="A15" s="10">
        <v>5</v>
      </c>
      <c r="B15" s="20" t="s">
        <v>171</v>
      </c>
      <c r="C15" s="17"/>
      <c r="D15" s="26">
        <v>0.8</v>
      </c>
      <c r="E15" s="99">
        <v>10</v>
      </c>
      <c r="F15" s="26"/>
      <c r="G15" s="53">
        <f t="shared" si="0"/>
        <v>-10</v>
      </c>
      <c r="H15" s="53">
        <f t="shared" si="1"/>
        <v>0</v>
      </c>
    </row>
    <row r="16" spans="1:8" ht="24.75" customHeight="1">
      <c r="A16" s="10">
        <v>6</v>
      </c>
      <c r="B16" s="20" t="s">
        <v>172</v>
      </c>
      <c r="C16" s="17"/>
      <c r="D16" s="26">
        <v>2428.1999999999998</v>
      </c>
      <c r="E16" s="26"/>
      <c r="F16" s="26">
        <v>4364.3999999999996</v>
      </c>
      <c r="G16" s="53">
        <f t="shared" si="0"/>
        <v>4364.3999999999996</v>
      </c>
      <c r="H16" s="53"/>
    </row>
    <row r="17" spans="1:8" ht="41.25" customHeight="1">
      <c r="A17" s="52">
        <v>7</v>
      </c>
      <c r="B17" s="20" t="s">
        <v>173</v>
      </c>
      <c r="C17" s="10"/>
      <c r="D17" s="26"/>
      <c r="E17" s="26"/>
      <c r="F17" s="26"/>
      <c r="G17" s="53">
        <f t="shared" si="0"/>
        <v>0</v>
      </c>
      <c r="H17" s="53"/>
    </row>
    <row r="18" spans="1:8" ht="19.5" customHeight="1">
      <c r="A18" s="285" t="s">
        <v>174</v>
      </c>
      <c r="B18" s="286"/>
      <c r="C18" s="17">
        <v>1130</v>
      </c>
      <c r="D18" s="42">
        <f>D19</f>
        <v>135.30000000000001</v>
      </c>
      <c r="E18" s="42">
        <f>E19</f>
        <v>48.6</v>
      </c>
      <c r="F18" s="42">
        <f>F19</f>
        <v>327.39999999999998</v>
      </c>
      <c r="G18" s="21">
        <f t="shared" si="0"/>
        <v>278.79999999999995</v>
      </c>
      <c r="H18" s="21">
        <f>F18/E18*100</f>
        <v>673.66255144032914</v>
      </c>
    </row>
    <row r="19" spans="1:8" ht="39.75" customHeight="1">
      <c r="A19" s="52">
        <v>1</v>
      </c>
      <c r="B19" s="20" t="s">
        <v>175</v>
      </c>
      <c r="C19" s="10"/>
      <c r="D19" s="26">
        <v>135.30000000000001</v>
      </c>
      <c r="E19" s="26">
        <v>48.6</v>
      </c>
      <c r="F19" s="26">
        <v>327.39999999999998</v>
      </c>
      <c r="G19" s="53">
        <f t="shared" si="0"/>
        <v>278.79999999999995</v>
      </c>
      <c r="H19" s="53">
        <f>F19/E19*100</f>
        <v>673.66255144032914</v>
      </c>
    </row>
    <row r="20" spans="1:8" ht="22.5" customHeight="1">
      <c r="A20" s="283" t="s">
        <v>23</v>
      </c>
      <c r="B20" s="284"/>
      <c r="C20" s="17">
        <v>1150</v>
      </c>
      <c r="D20" s="42">
        <f>D21+D22</f>
        <v>1364.7</v>
      </c>
      <c r="E20" s="42">
        <f>E21+E22</f>
        <v>6000</v>
      </c>
      <c r="F20" s="42">
        <f>F21+F22</f>
        <v>10603.699999999999</v>
      </c>
      <c r="G20" s="21">
        <f t="shared" si="0"/>
        <v>4603.6999999999989</v>
      </c>
      <c r="H20" s="21">
        <f>(F20/E20)*100</f>
        <v>176.7283333333333</v>
      </c>
    </row>
    <row r="21" spans="1:8" ht="36.75" customHeight="1">
      <c r="A21" s="10">
        <v>1</v>
      </c>
      <c r="B21" s="24" t="s">
        <v>114</v>
      </c>
      <c r="C21" s="17"/>
      <c r="D21" s="26">
        <v>1359.9</v>
      </c>
      <c r="E21" s="26">
        <v>6000</v>
      </c>
      <c r="F21" s="26">
        <v>10601.3</v>
      </c>
      <c r="G21" s="53">
        <f t="shared" ref="G21:G62" si="2">F21-E21</f>
        <v>4601.2999999999993</v>
      </c>
      <c r="H21" s="53">
        <f t="shared" ref="H21:H72" si="3">(F21/E21)*100</f>
        <v>176.6883333333333</v>
      </c>
    </row>
    <row r="22" spans="1:8" ht="21" customHeight="1">
      <c r="A22" s="10">
        <v>2</v>
      </c>
      <c r="B22" s="24" t="s">
        <v>266</v>
      </c>
      <c r="C22" s="17"/>
      <c r="D22" s="26">
        <v>4.8</v>
      </c>
      <c r="E22" s="26"/>
      <c r="F22" s="26">
        <v>2.4</v>
      </c>
      <c r="G22" s="53">
        <f t="shared" ref="G22" si="4">F22-E22</f>
        <v>2.4</v>
      </c>
      <c r="H22" s="53"/>
    </row>
    <row r="23" spans="1:8" ht="18" customHeight="1">
      <c r="A23" s="279" t="s">
        <v>69</v>
      </c>
      <c r="B23" s="280"/>
      <c r="C23" s="22"/>
      <c r="D23" s="42"/>
      <c r="E23" s="42"/>
      <c r="F23" s="42"/>
      <c r="G23" s="21"/>
      <c r="H23" s="21"/>
    </row>
    <row r="24" spans="1:8" ht="41.25" customHeight="1">
      <c r="A24" s="288" t="s">
        <v>76</v>
      </c>
      <c r="B24" s="289"/>
      <c r="C24" s="17"/>
      <c r="D24" s="38"/>
      <c r="E24" s="38"/>
      <c r="F24" s="38"/>
      <c r="G24" s="21"/>
      <c r="H24" s="21"/>
    </row>
    <row r="25" spans="1:8" ht="21" customHeight="1">
      <c r="A25" s="283" t="s">
        <v>91</v>
      </c>
      <c r="B25" s="284"/>
      <c r="C25" s="37">
        <v>1011</v>
      </c>
      <c r="D25" s="42">
        <f>SUM(D26:D45)</f>
        <v>21344.000000000004</v>
      </c>
      <c r="E25" s="42">
        <f t="shared" ref="E25" si="5">SUM(E26:E44)</f>
        <v>24848.7</v>
      </c>
      <c r="F25" s="42">
        <f>SUM(F26:F45)</f>
        <v>32418.100000000002</v>
      </c>
      <c r="G25" s="21">
        <f t="shared" si="2"/>
        <v>7569.4000000000015</v>
      </c>
      <c r="H25" s="21">
        <f t="shared" si="3"/>
        <v>130.46195575623676</v>
      </c>
    </row>
    <row r="26" spans="1:8" ht="36.75" customHeight="1">
      <c r="A26" s="54"/>
      <c r="B26" s="39" t="s">
        <v>220</v>
      </c>
      <c r="C26" s="50"/>
      <c r="D26" s="99">
        <v>51</v>
      </c>
      <c r="E26" s="176">
        <v>80</v>
      </c>
      <c r="F26" s="99">
        <f>116+5.5</f>
        <v>121.5</v>
      </c>
      <c r="G26" s="53">
        <f t="shared" si="2"/>
        <v>41.5</v>
      </c>
      <c r="H26" s="53">
        <f t="shared" si="3"/>
        <v>151.875</v>
      </c>
    </row>
    <row r="27" spans="1:8" ht="54.75" customHeight="1">
      <c r="A27" s="54"/>
      <c r="B27" s="20" t="s">
        <v>315</v>
      </c>
      <c r="C27" s="50"/>
      <c r="D27" s="99">
        <v>178.9</v>
      </c>
      <c r="E27" s="99">
        <v>131</v>
      </c>
      <c r="F27" s="99">
        <f>202.6+0.6+32.1+27.1</f>
        <v>262.39999999999998</v>
      </c>
      <c r="G27" s="53">
        <f t="shared" si="2"/>
        <v>131.39999999999998</v>
      </c>
      <c r="H27" s="53">
        <f t="shared" si="3"/>
        <v>200.30534351145036</v>
      </c>
    </row>
    <row r="28" spans="1:8" ht="18" customHeight="1">
      <c r="A28" s="54"/>
      <c r="B28" s="20" t="s">
        <v>116</v>
      </c>
      <c r="C28" s="50"/>
      <c r="D28" s="99">
        <v>150.69999999999999</v>
      </c>
      <c r="E28" s="99"/>
      <c r="F28" s="99">
        <v>204.5</v>
      </c>
      <c r="G28" s="53">
        <f t="shared" si="2"/>
        <v>204.5</v>
      </c>
      <c r="H28" s="53" t="e">
        <f t="shared" si="3"/>
        <v>#DIV/0!</v>
      </c>
    </row>
    <row r="29" spans="1:8" ht="18" customHeight="1">
      <c r="A29" s="54"/>
      <c r="B29" s="20" t="s">
        <v>286</v>
      </c>
      <c r="C29" s="50"/>
      <c r="D29" s="99"/>
      <c r="E29" s="99">
        <v>400</v>
      </c>
      <c r="F29" s="99"/>
      <c r="G29" s="53"/>
      <c r="H29" s="53"/>
    </row>
    <row r="30" spans="1:8" ht="18" customHeight="1">
      <c r="A30" s="54"/>
      <c r="B30" s="20" t="s">
        <v>151</v>
      </c>
      <c r="C30" s="50"/>
      <c r="D30" s="99">
        <v>21.4</v>
      </c>
      <c r="E30" s="36">
        <v>33</v>
      </c>
      <c r="F30" s="99">
        <f>34.7</f>
        <v>34.700000000000003</v>
      </c>
      <c r="G30" s="53">
        <f t="shared" si="2"/>
        <v>1.7000000000000028</v>
      </c>
      <c r="H30" s="53">
        <f t="shared" si="3"/>
        <v>105.15151515151516</v>
      </c>
    </row>
    <row r="31" spans="1:8" ht="18" customHeight="1">
      <c r="A31" s="54"/>
      <c r="B31" s="20" t="s">
        <v>117</v>
      </c>
      <c r="C31" s="50"/>
      <c r="D31" s="99">
        <v>5.5</v>
      </c>
      <c r="E31" s="99">
        <v>4.7</v>
      </c>
      <c r="F31" s="99">
        <f>5.4+1.8</f>
        <v>7.2</v>
      </c>
      <c r="G31" s="53">
        <f t="shared" si="2"/>
        <v>2.5</v>
      </c>
      <c r="H31" s="53">
        <f t="shared" si="3"/>
        <v>153.19148936170214</v>
      </c>
    </row>
    <row r="32" spans="1:8" ht="18" customHeight="1">
      <c r="A32" s="54"/>
      <c r="B32" s="20" t="s">
        <v>152</v>
      </c>
      <c r="C32" s="50"/>
      <c r="D32" s="99">
        <v>172.7</v>
      </c>
      <c r="E32" s="99"/>
      <c r="F32" s="99">
        <v>72.7</v>
      </c>
      <c r="G32" s="53">
        <f t="shared" si="2"/>
        <v>72.7</v>
      </c>
      <c r="H32" s="53"/>
    </row>
    <row r="33" spans="1:8" ht="18" customHeight="1">
      <c r="A33" s="54"/>
      <c r="B33" s="20" t="s">
        <v>153</v>
      </c>
      <c r="C33" s="50"/>
      <c r="D33" s="99">
        <v>91.3</v>
      </c>
      <c r="E33" s="99"/>
      <c r="F33" s="99">
        <v>9.6</v>
      </c>
      <c r="G33" s="53">
        <f t="shared" si="2"/>
        <v>9.6</v>
      </c>
      <c r="H33" s="53"/>
    </row>
    <row r="34" spans="1:8" ht="36.75" customHeight="1">
      <c r="A34" s="54"/>
      <c r="B34" s="20" t="s">
        <v>317</v>
      </c>
      <c r="C34" s="10"/>
      <c r="D34" s="99">
        <v>364.3</v>
      </c>
      <c r="E34" s="99">
        <v>40</v>
      </c>
      <c r="F34" s="99">
        <f>91.4+701.1</f>
        <v>792.5</v>
      </c>
      <c r="G34" s="53">
        <f t="shared" si="2"/>
        <v>752.5</v>
      </c>
      <c r="H34" s="53">
        <f t="shared" si="3"/>
        <v>1981.25</v>
      </c>
    </row>
    <row r="35" spans="1:8" ht="18" customHeight="1">
      <c r="A35" s="54"/>
      <c r="B35" s="20" t="s">
        <v>119</v>
      </c>
      <c r="C35" s="50"/>
      <c r="D35" s="99"/>
      <c r="E35" s="99"/>
      <c r="F35" s="99"/>
      <c r="G35" s="53">
        <f t="shared" si="2"/>
        <v>0</v>
      </c>
      <c r="H35" s="53" t="e">
        <f t="shared" si="3"/>
        <v>#DIV/0!</v>
      </c>
    </row>
    <row r="36" spans="1:8" ht="35.25" customHeight="1">
      <c r="A36" s="54"/>
      <c r="B36" s="45" t="s">
        <v>269</v>
      </c>
      <c r="C36" s="50"/>
      <c r="D36" s="99">
        <v>49.5</v>
      </c>
      <c r="E36" s="99"/>
      <c r="F36" s="99"/>
      <c r="G36" s="53">
        <f t="shared" si="2"/>
        <v>0</v>
      </c>
      <c r="H36" s="53"/>
    </row>
    <row r="37" spans="1:8" ht="18" customHeight="1">
      <c r="A37" s="54"/>
      <c r="B37" s="20" t="s">
        <v>155</v>
      </c>
      <c r="C37" s="50"/>
      <c r="D37" s="99">
        <v>36.700000000000003</v>
      </c>
      <c r="E37" s="99"/>
      <c r="F37" s="99">
        <v>180.4</v>
      </c>
      <c r="G37" s="53">
        <f t="shared" si="2"/>
        <v>180.4</v>
      </c>
      <c r="H37" s="53"/>
    </row>
    <row r="38" spans="1:8" ht="18" customHeight="1">
      <c r="A38" s="54"/>
      <c r="B38" s="20" t="s">
        <v>115</v>
      </c>
      <c r="C38" s="50"/>
      <c r="D38" s="99">
        <v>17026.400000000001</v>
      </c>
      <c r="E38" s="36">
        <v>18550</v>
      </c>
      <c r="F38" s="99">
        <f>16217.7+3979.5+2731+24.4</f>
        <v>22952.600000000002</v>
      </c>
      <c r="G38" s="53">
        <f t="shared" si="2"/>
        <v>4402.6000000000022</v>
      </c>
      <c r="H38" s="53">
        <f t="shared" si="3"/>
        <v>123.73369272237198</v>
      </c>
    </row>
    <row r="39" spans="1:8" ht="18" customHeight="1">
      <c r="A39" s="54"/>
      <c r="B39" s="20" t="s">
        <v>140</v>
      </c>
      <c r="C39" s="50"/>
      <c r="D39" s="99">
        <v>424.7</v>
      </c>
      <c r="E39" s="99">
        <v>250</v>
      </c>
      <c r="F39" s="99">
        <f>629.8+437.2</f>
        <v>1067</v>
      </c>
      <c r="G39" s="53">
        <f t="shared" si="2"/>
        <v>817</v>
      </c>
      <c r="H39" s="53">
        <f t="shared" si="3"/>
        <v>426.79999999999995</v>
      </c>
    </row>
    <row r="40" spans="1:8" ht="18" customHeight="1">
      <c r="A40" s="54"/>
      <c r="B40" s="20" t="s">
        <v>143</v>
      </c>
      <c r="C40" s="50"/>
      <c r="D40" s="14">
        <v>128.6</v>
      </c>
      <c r="E40" s="99">
        <v>197.6</v>
      </c>
      <c r="F40" s="99">
        <v>193.1</v>
      </c>
      <c r="G40" s="53">
        <f t="shared" si="2"/>
        <v>-4.5</v>
      </c>
      <c r="H40" s="53">
        <f t="shared" si="3"/>
        <v>97.722672064777328</v>
      </c>
    </row>
    <row r="41" spans="1:8" ht="18" customHeight="1">
      <c r="A41" s="54"/>
      <c r="B41" s="20" t="s">
        <v>131</v>
      </c>
      <c r="C41" s="50"/>
      <c r="D41" s="14">
        <v>1384.2</v>
      </c>
      <c r="E41" s="99">
        <v>2934.2</v>
      </c>
      <c r="F41" s="99">
        <f>3.2+4071.4+8.1</f>
        <v>4082.7</v>
      </c>
      <c r="G41" s="53">
        <f t="shared" si="2"/>
        <v>1148.5</v>
      </c>
      <c r="H41" s="53">
        <f t="shared" si="3"/>
        <v>139.14184445504739</v>
      </c>
    </row>
    <row r="42" spans="1:8" ht="18" customHeight="1">
      <c r="A42" s="54"/>
      <c r="B42" s="24" t="s">
        <v>132</v>
      </c>
      <c r="C42" s="50"/>
      <c r="D42" s="14">
        <v>156.9</v>
      </c>
      <c r="E42" s="99">
        <v>231.4</v>
      </c>
      <c r="F42" s="99">
        <f>0.3+215.5+1.4</f>
        <v>217.20000000000002</v>
      </c>
      <c r="G42" s="53">
        <f t="shared" si="2"/>
        <v>-14.199999999999989</v>
      </c>
      <c r="H42" s="53">
        <f t="shared" si="3"/>
        <v>93.863439930855662</v>
      </c>
    </row>
    <row r="43" spans="1:8" ht="18" customHeight="1">
      <c r="A43" s="54"/>
      <c r="B43" s="20" t="s">
        <v>133</v>
      </c>
      <c r="C43" s="50"/>
      <c r="D43" s="14">
        <v>1040.4000000000001</v>
      </c>
      <c r="E43" s="99">
        <v>1857</v>
      </c>
      <c r="F43" s="99">
        <f>2.2+2036.3+91.9</f>
        <v>2130.4</v>
      </c>
      <c r="G43" s="53">
        <f t="shared" si="2"/>
        <v>273.40000000000009</v>
      </c>
      <c r="H43" s="53">
        <f t="shared" si="3"/>
        <v>114.72267097469036</v>
      </c>
    </row>
    <row r="44" spans="1:8" ht="18" customHeight="1">
      <c r="A44" s="54"/>
      <c r="B44" s="20" t="s">
        <v>134</v>
      </c>
      <c r="C44" s="50"/>
      <c r="D44" s="14">
        <v>60.1</v>
      </c>
      <c r="E44" s="99">
        <v>139.80000000000001</v>
      </c>
      <c r="F44" s="99">
        <f>0.1+89.3+0.2</f>
        <v>89.6</v>
      </c>
      <c r="G44" s="53">
        <f t="shared" si="2"/>
        <v>-50.200000000000017</v>
      </c>
      <c r="H44" s="53">
        <f t="shared" si="3"/>
        <v>64.091559370529311</v>
      </c>
    </row>
    <row r="45" spans="1:8" ht="18" customHeight="1">
      <c r="A45" s="55"/>
      <c r="B45" s="20" t="s">
        <v>258</v>
      </c>
      <c r="C45" s="50"/>
      <c r="D45" s="219">
        <v>0.7</v>
      </c>
      <c r="E45" s="99"/>
      <c r="F45" s="99"/>
      <c r="G45" s="53">
        <f t="shared" si="2"/>
        <v>0</v>
      </c>
      <c r="H45" s="53"/>
    </row>
    <row r="46" spans="1:8" ht="18" customHeight="1">
      <c r="A46" s="283" t="s">
        <v>235</v>
      </c>
      <c r="B46" s="284"/>
      <c r="C46" s="51">
        <v>1015</v>
      </c>
      <c r="D46" s="42">
        <f>SUM(D47:D75)</f>
        <v>1532.5</v>
      </c>
      <c r="E46" s="42">
        <f>SUM(E47:E75)</f>
        <v>903.00000000000011</v>
      </c>
      <c r="F46" s="42">
        <f>SUM(F47:F77)</f>
        <v>762.00000000000011</v>
      </c>
      <c r="G46" s="21">
        <f t="shared" si="2"/>
        <v>-141</v>
      </c>
      <c r="H46" s="21">
        <f t="shared" si="3"/>
        <v>84.385382059800662</v>
      </c>
    </row>
    <row r="47" spans="1:8" ht="40.5" customHeight="1">
      <c r="A47" s="54"/>
      <c r="B47" s="39" t="s">
        <v>228</v>
      </c>
      <c r="C47" s="10"/>
      <c r="D47" s="26">
        <v>19.5</v>
      </c>
      <c r="E47" s="99">
        <v>27</v>
      </c>
      <c r="F47" s="26">
        <v>14.4</v>
      </c>
      <c r="G47" s="53">
        <f t="shared" si="2"/>
        <v>-12.6</v>
      </c>
      <c r="H47" s="53">
        <f t="shared" si="3"/>
        <v>53.333333333333336</v>
      </c>
    </row>
    <row r="48" spans="1:8" ht="54" customHeight="1">
      <c r="A48" s="54"/>
      <c r="B48" s="45" t="s">
        <v>120</v>
      </c>
      <c r="C48" s="10"/>
      <c r="D48" s="26">
        <v>2</v>
      </c>
      <c r="E48" s="99">
        <f>3</f>
        <v>3</v>
      </c>
      <c r="F48" s="26">
        <v>7.8</v>
      </c>
      <c r="G48" s="53">
        <f t="shared" si="2"/>
        <v>4.8</v>
      </c>
      <c r="H48" s="53">
        <f t="shared" si="3"/>
        <v>260</v>
      </c>
    </row>
    <row r="49" spans="1:8" ht="18" customHeight="1">
      <c r="A49" s="54"/>
      <c r="B49" s="45" t="s">
        <v>138</v>
      </c>
      <c r="C49" s="50"/>
      <c r="D49" s="26">
        <v>610.79999999999995</v>
      </c>
      <c r="E49" s="26">
        <v>25.1</v>
      </c>
      <c r="F49" s="26">
        <f>49.5+4.2</f>
        <v>53.7</v>
      </c>
      <c r="G49" s="53">
        <f t="shared" si="2"/>
        <v>28.6</v>
      </c>
      <c r="H49" s="53">
        <f t="shared" si="3"/>
        <v>213.94422310756971</v>
      </c>
    </row>
    <row r="50" spans="1:8" ht="98.25" customHeight="1">
      <c r="A50" s="54"/>
      <c r="B50" s="20" t="s">
        <v>373</v>
      </c>
      <c r="C50" s="50"/>
      <c r="D50" s="26"/>
      <c r="E50" s="26">
        <v>20</v>
      </c>
      <c r="F50" s="26">
        <f>27.5+1.5</f>
        <v>29</v>
      </c>
      <c r="G50" s="53">
        <f t="shared" ref="G50" si="6">F50-E50</f>
        <v>9</v>
      </c>
      <c r="H50" s="53">
        <f t="shared" ref="H50" si="7">(F50/E50)*100</f>
        <v>145</v>
      </c>
    </row>
    <row r="51" spans="1:8" ht="18" customHeight="1">
      <c r="A51" s="54"/>
      <c r="B51" s="45" t="s">
        <v>122</v>
      </c>
      <c r="C51" s="50"/>
      <c r="D51" s="26">
        <v>17.3</v>
      </c>
      <c r="E51" s="26">
        <v>21</v>
      </c>
      <c r="F51" s="26">
        <v>22</v>
      </c>
      <c r="G51" s="53">
        <f t="shared" si="2"/>
        <v>1</v>
      </c>
      <c r="H51" s="53">
        <f t="shared" si="3"/>
        <v>104.76190476190477</v>
      </c>
    </row>
    <row r="52" spans="1:8" ht="18" customHeight="1">
      <c r="A52" s="54"/>
      <c r="B52" s="45" t="s">
        <v>123</v>
      </c>
      <c r="C52" s="50"/>
      <c r="D52" s="26">
        <v>6.6</v>
      </c>
      <c r="E52" s="26">
        <v>7</v>
      </c>
      <c r="F52" s="26">
        <v>4.5</v>
      </c>
      <c r="G52" s="53">
        <f t="shared" si="2"/>
        <v>-2.5</v>
      </c>
      <c r="H52" s="53">
        <f t="shared" si="3"/>
        <v>64.285714285714292</v>
      </c>
    </row>
    <row r="53" spans="1:8" ht="36.75" customHeight="1">
      <c r="A53" s="55"/>
      <c r="B53" s="45" t="s">
        <v>156</v>
      </c>
      <c r="C53" s="52"/>
      <c r="D53" s="26">
        <v>395.3</v>
      </c>
      <c r="E53" s="26">
        <v>180</v>
      </c>
      <c r="F53" s="26">
        <f>49.5+21.3</f>
        <v>70.8</v>
      </c>
      <c r="G53" s="53">
        <f t="shared" si="2"/>
        <v>-109.2</v>
      </c>
      <c r="H53" s="53">
        <f t="shared" si="3"/>
        <v>39.333333333333329</v>
      </c>
    </row>
    <row r="54" spans="1:8" ht="18" customHeight="1">
      <c r="A54" s="55"/>
      <c r="B54" s="45" t="s">
        <v>250</v>
      </c>
      <c r="C54" s="52"/>
      <c r="D54" s="26"/>
      <c r="E54" s="26"/>
      <c r="F54" s="26"/>
      <c r="G54" s="53">
        <f t="shared" si="2"/>
        <v>0</v>
      </c>
      <c r="H54" s="53" t="e">
        <f t="shared" si="3"/>
        <v>#DIV/0!</v>
      </c>
    </row>
    <row r="55" spans="1:8" ht="18" customHeight="1">
      <c r="A55" s="55"/>
      <c r="B55" s="45" t="s">
        <v>125</v>
      </c>
      <c r="C55" s="52"/>
      <c r="D55" s="26">
        <v>23.6</v>
      </c>
      <c r="E55" s="99">
        <v>22</v>
      </c>
      <c r="F55" s="26">
        <v>22</v>
      </c>
      <c r="G55" s="53">
        <f t="shared" si="2"/>
        <v>0</v>
      </c>
      <c r="H55" s="53">
        <f t="shared" si="3"/>
        <v>100</v>
      </c>
    </row>
    <row r="56" spans="1:8" ht="18" customHeight="1">
      <c r="A56" s="54"/>
      <c r="B56" s="45" t="s">
        <v>126</v>
      </c>
      <c r="C56" s="50"/>
      <c r="D56" s="26">
        <v>3.8</v>
      </c>
      <c r="E56" s="176">
        <v>4</v>
      </c>
      <c r="F56" s="26">
        <v>20.3</v>
      </c>
      <c r="G56" s="53">
        <f t="shared" si="2"/>
        <v>16.3</v>
      </c>
      <c r="H56" s="53">
        <f t="shared" si="3"/>
        <v>507.5</v>
      </c>
    </row>
    <row r="57" spans="1:8" ht="18" customHeight="1">
      <c r="A57" s="54"/>
      <c r="B57" s="45" t="s">
        <v>127</v>
      </c>
      <c r="C57" s="50"/>
      <c r="D57" s="26">
        <v>2.7</v>
      </c>
      <c r="E57" s="176">
        <f>3</f>
        <v>3</v>
      </c>
      <c r="F57" s="26"/>
      <c r="G57" s="53">
        <f t="shared" si="2"/>
        <v>-3</v>
      </c>
      <c r="H57" s="53">
        <f t="shared" si="3"/>
        <v>0</v>
      </c>
    </row>
    <row r="58" spans="1:8" ht="18" customHeight="1">
      <c r="A58" s="54"/>
      <c r="B58" s="45" t="s">
        <v>128</v>
      </c>
      <c r="C58" s="50"/>
      <c r="D58" s="26">
        <v>9.1999999999999993</v>
      </c>
      <c r="E58" s="176">
        <v>15</v>
      </c>
      <c r="F58" s="26">
        <v>18.7</v>
      </c>
      <c r="G58" s="53">
        <f t="shared" si="2"/>
        <v>3.6999999999999993</v>
      </c>
      <c r="H58" s="53">
        <f t="shared" si="3"/>
        <v>124.66666666666666</v>
      </c>
    </row>
    <row r="59" spans="1:8" ht="18" customHeight="1">
      <c r="A59" s="54"/>
      <c r="B59" s="45" t="s">
        <v>275</v>
      </c>
      <c r="C59" s="50"/>
      <c r="D59" s="26"/>
      <c r="E59" s="176">
        <f>22.5</f>
        <v>22.5</v>
      </c>
      <c r="F59" s="26">
        <v>8.8000000000000007</v>
      </c>
      <c r="G59" s="53">
        <f t="shared" si="2"/>
        <v>-13.7</v>
      </c>
      <c r="H59" s="53">
        <f t="shared" si="3"/>
        <v>39.111111111111114</v>
      </c>
    </row>
    <row r="60" spans="1:8" ht="36.75" customHeight="1">
      <c r="A60" s="54"/>
      <c r="B60" s="45" t="s">
        <v>374</v>
      </c>
      <c r="C60" s="50"/>
      <c r="D60" s="26">
        <f>29</f>
        <v>29</v>
      </c>
      <c r="E60" s="26">
        <v>17</v>
      </c>
      <c r="F60" s="26">
        <f>1.2+24.6</f>
        <v>25.8</v>
      </c>
      <c r="G60" s="53">
        <f t="shared" si="2"/>
        <v>8.8000000000000007</v>
      </c>
      <c r="H60" s="53">
        <f t="shared" si="3"/>
        <v>151.76470588235293</v>
      </c>
    </row>
    <row r="61" spans="1:8" ht="18" customHeight="1">
      <c r="A61" s="54"/>
      <c r="B61" s="45" t="s">
        <v>129</v>
      </c>
      <c r="C61" s="50"/>
      <c r="D61" s="26">
        <v>4.7</v>
      </c>
      <c r="E61" s="26">
        <v>22</v>
      </c>
      <c r="F61" s="26">
        <v>31</v>
      </c>
      <c r="G61" s="53">
        <f t="shared" si="2"/>
        <v>9</v>
      </c>
      <c r="H61" s="53">
        <f t="shared" si="3"/>
        <v>140.90909090909091</v>
      </c>
    </row>
    <row r="62" spans="1:8" ht="18" customHeight="1">
      <c r="A62" s="54"/>
      <c r="B62" s="45" t="s">
        <v>130</v>
      </c>
      <c r="C62" s="50"/>
      <c r="D62" s="26">
        <v>5.8</v>
      </c>
      <c r="E62" s="26">
        <v>20</v>
      </c>
      <c r="F62" s="26">
        <v>4.4000000000000004</v>
      </c>
      <c r="G62" s="53">
        <f t="shared" si="2"/>
        <v>-15.6</v>
      </c>
      <c r="H62" s="53">
        <f t="shared" si="3"/>
        <v>22.000000000000004</v>
      </c>
    </row>
    <row r="63" spans="1:8" ht="54.75" customHeight="1">
      <c r="A63" s="55"/>
      <c r="B63" s="46" t="s">
        <v>157</v>
      </c>
      <c r="C63" s="52"/>
      <c r="D63" s="26">
        <v>117.5</v>
      </c>
      <c r="E63" s="26">
        <v>125</v>
      </c>
      <c r="F63" s="26">
        <v>67.3</v>
      </c>
      <c r="G63" s="53">
        <f t="shared" ref="G63" si="8">F63-E63</f>
        <v>-57.7</v>
      </c>
      <c r="H63" s="53">
        <f t="shared" si="3"/>
        <v>53.839999999999996</v>
      </c>
    </row>
    <row r="64" spans="1:8" ht="18.75" customHeight="1">
      <c r="A64" s="54"/>
      <c r="B64" s="45" t="s">
        <v>137</v>
      </c>
      <c r="C64" s="50"/>
      <c r="D64" s="26"/>
      <c r="E64" s="26">
        <v>0.2</v>
      </c>
      <c r="F64" s="26"/>
      <c r="G64" s="53">
        <f>F64-E64</f>
        <v>-0.2</v>
      </c>
      <c r="H64" s="53"/>
    </row>
    <row r="65" spans="1:8" ht="18.75" customHeight="1">
      <c r="A65" s="54"/>
      <c r="B65" s="45" t="s">
        <v>177</v>
      </c>
      <c r="C65" s="50"/>
      <c r="D65" s="26">
        <v>38.6</v>
      </c>
      <c r="E65" s="26">
        <v>7.5</v>
      </c>
      <c r="F65" s="26">
        <v>1.2</v>
      </c>
      <c r="G65" s="53">
        <f>F65-E65</f>
        <v>-6.3</v>
      </c>
      <c r="H65" s="53">
        <f t="shared" si="3"/>
        <v>16</v>
      </c>
    </row>
    <row r="66" spans="1:8" ht="19.5" customHeight="1">
      <c r="A66" s="54"/>
      <c r="B66" s="45" t="s">
        <v>158</v>
      </c>
      <c r="C66" s="50"/>
      <c r="D66" s="26">
        <v>0.2</v>
      </c>
      <c r="E66" s="26"/>
      <c r="F66" s="26">
        <v>0.3</v>
      </c>
      <c r="G66" s="53">
        <f t="shared" ref="G66:G75" si="9">F66-E66</f>
        <v>0.3</v>
      </c>
      <c r="H66" s="53" t="e">
        <f t="shared" si="3"/>
        <v>#DIV/0!</v>
      </c>
    </row>
    <row r="67" spans="1:8" ht="19.5" customHeight="1">
      <c r="A67" s="54"/>
      <c r="B67" s="45" t="s">
        <v>257</v>
      </c>
      <c r="C67" s="50"/>
      <c r="D67" s="26">
        <v>11</v>
      </c>
      <c r="E67" s="26">
        <v>25.5</v>
      </c>
      <c r="F67" s="26">
        <f>26.4+3.6</f>
        <v>30</v>
      </c>
      <c r="G67" s="53">
        <f t="shared" si="9"/>
        <v>4.5</v>
      </c>
      <c r="H67" s="53">
        <f t="shared" si="3"/>
        <v>117.64705882352942</v>
      </c>
    </row>
    <row r="68" spans="1:8" ht="54" customHeight="1">
      <c r="A68" s="55"/>
      <c r="B68" s="45" t="s">
        <v>216</v>
      </c>
      <c r="C68" s="56"/>
      <c r="D68" s="26"/>
      <c r="E68" s="26"/>
      <c r="F68" s="26"/>
      <c r="G68" s="53">
        <f t="shared" si="9"/>
        <v>0</v>
      </c>
      <c r="H68" s="53"/>
    </row>
    <row r="69" spans="1:8" ht="19.5" customHeight="1">
      <c r="A69" s="54"/>
      <c r="B69" s="45" t="s">
        <v>271</v>
      </c>
      <c r="C69" s="56"/>
      <c r="D69" s="26"/>
      <c r="E69" s="26"/>
      <c r="F69" s="26"/>
      <c r="G69" s="53"/>
      <c r="H69" s="53"/>
    </row>
    <row r="70" spans="1:8" ht="20.25" customHeight="1">
      <c r="A70" s="54"/>
      <c r="B70" s="45" t="s">
        <v>178</v>
      </c>
      <c r="C70" s="56"/>
      <c r="D70" s="26">
        <v>195.9</v>
      </c>
      <c r="E70" s="26">
        <v>305</v>
      </c>
      <c r="F70" s="26">
        <v>228</v>
      </c>
      <c r="G70" s="53">
        <f t="shared" si="9"/>
        <v>-77</v>
      </c>
      <c r="H70" s="53">
        <f t="shared" si="3"/>
        <v>74.754098360655746</v>
      </c>
    </row>
    <row r="71" spans="1:8" ht="57" customHeight="1">
      <c r="A71" s="54"/>
      <c r="B71" s="45" t="s">
        <v>251</v>
      </c>
      <c r="C71" s="56"/>
      <c r="D71" s="26">
        <v>2</v>
      </c>
      <c r="E71" s="26">
        <v>3.2</v>
      </c>
      <c r="F71" s="26">
        <v>3.1</v>
      </c>
      <c r="G71" s="53">
        <f t="shared" si="9"/>
        <v>-0.10000000000000009</v>
      </c>
      <c r="H71" s="53">
        <f t="shared" si="3"/>
        <v>96.875</v>
      </c>
    </row>
    <row r="72" spans="1:8" ht="36" customHeight="1">
      <c r="A72" s="54"/>
      <c r="B72" s="45" t="s">
        <v>136</v>
      </c>
      <c r="C72" s="56"/>
      <c r="D72" s="26">
        <f>4.9</f>
        <v>4.9000000000000004</v>
      </c>
      <c r="E72" s="26">
        <v>8</v>
      </c>
      <c r="F72" s="26"/>
      <c r="G72" s="53">
        <f t="shared" si="9"/>
        <v>-8</v>
      </c>
      <c r="H72" s="53">
        <f t="shared" si="3"/>
        <v>0</v>
      </c>
    </row>
    <row r="73" spans="1:8" ht="36" customHeight="1">
      <c r="A73" s="54"/>
      <c r="B73" s="20" t="s">
        <v>287</v>
      </c>
      <c r="C73" s="56"/>
      <c r="D73" s="26"/>
      <c r="E73" s="26">
        <v>20</v>
      </c>
      <c r="F73" s="26"/>
      <c r="G73" s="53">
        <f t="shared" si="9"/>
        <v>-20</v>
      </c>
      <c r="H73" s="53"/>
    </row>
    <row r="74" spans="1:8" ht="55.5" customHeight="1">
      <c r="A74" s="54"/>
      <c r="B74" s="20" t="s">
        <v>319</v>
      </c>
      <c r="C74" s="56"/>
      <c r="D74" s="26"/>
      <c r="E74" s="26"/>
      <c r="F74" s="26">
        <v>1</v>
      </c>
      <c r="G74" s="53">
        <f t="shared" si="9"/>
        <v>1</v>
      </c>
      <c r="H74" s="53"/>
    </row>
    <row r="75" spans="1:8" ht="37.5" customHeight="1">
      <c r="A75" s="54"/>
      <c r="B75" s="45" t="s">
        <v>252</v>
      </c>
      <c r="C75" s="56"/>
      <c r="D75" s="26">
        <v>32.1</v>
      </c>
      <c r="E75" s="26"/>
      <c r="F75" s="26"/>
      <c r="G75" s="53">
        <f t="shared" si="9"/>
        <v>0</v>
      </c>
      <c r="H75" s="53"/>
    </row>
    <row r="76" spans="1:8" ht="18.75" customHeight="1">
      <c r="A76" s="54"/>
      <c r="B76" s="196" t="s">
        <v>375</v>
      </c>
      <c r="C76" s="56"/>
      <c r="D76" s="26"/>
      <c r="E76" s="26"/>
      <c r="F76" s="26">
        <v>17.7</v>
      </c>
      <c r="G76" s="53"/>
      <c r="H76" s="53"/>
    </row>
    <row r="77" spans="1:8" ht="37.5" customHeight="1">
      <c r="A77" s="55"/>
      <c r="B77" s="20" t="s">
        <v>337</v>
      </c>
      <c r="C77" s="56"/>
      <c r="D77" s="26"/>
      <c r="E77" s="26"/>
      <c r="F77" s="26">
        <v>80.2</v>
      </c>
      <c r="G77" s="53"/>
      <c r="H77" s="53"/>
    </row>
    <row r="78" spans="1:8" ht="21" customHeight="1">
      <c r="A78" s="288" t="s">
        <v>77</v>
      </c>
      <c r="B78" s="289"/>
      <c r="C78" s="29">
        <v>1020</v>
      </c>
      <c r="D78" s="42"/>
      <c r="E78" s="42"/>
      <c r="F78" s="42"/>
      <c r="G78" s="21"/>
      <c r="H78" s="21"/>
    </row>
    <row r="79" spans="1:8" ht="19.5" customHeight="1">
      <c r="A79" s="283" t="s">
        <v>91</v>
      </c>
      <c r="B79" s="284"/>
      <c r="C79" s="17">
        <v>1021</v>
      </c>
      <c r="D79" s="220">
        <f>SUM(D80:D85)</f>
        <v>30.6</v>
      </c>
      <c r="E79" s="220">
        <f>SUM(E80:E85)</f>
        <v>44.5</v>
      </c>
      <c r="F79" s="220">
        <f>SUM(F80:F85)</f>
        <v>17.399999999999999</v>
      </c>
      <c r="G79" s="21">
        <f t="shared" ref="G79:G99" si="10">F79-E79</f>
        <v>-27.1</v>
      </c>
      <c r="H79" s="21">
        <f t="shared" ref="H79:H96" si="11">(F79/E79)*100</f>
        <v>39.101123595505612</v>
      </c>
    </row>
    <row r="80" spans="1:8" ht="39.950000000000003" customHeight="1">
      <c r="A80" s="17"/>
      <c r="B80" s="20" t="s">
        <v>226</v>
      </c>
      <c r="C80" s="17"/>
      <c r="D80" s="26"/>
      <c r="E80" s="26">
        <v>25</v>
      </c>
      <c r="F80" s="26"/>
      <c r="G80" s="53">
        <f t="shared" si="10"/>
        <v>-25</v>
      </c>
      <c r="H80" s="53"/>
    </row>
    <row r="81" spans="1:8" ht="18" customHeight="1">
      <c r="A81" s="40"/>
      <c r="B81" s="45" t="s">
        <v>116</v>
      </c>
      <c r="C81" s="17"/>
      <c r="D81" s="26">
        <v>5.5</v>
      </c>
      <c r="E81" s="26"/>
      <c r="F81" s="26"/>
      <c r="G81" s="53">
        <f t="shared" si="10"/>
        <v>0</v>
      </c>
      <c r="H81" s="53" t="e">
        <f t="shared" si="11"/>
        <v>#DIV/0!</v>
      </c>
    </row>
    <row r="82" spans="1:8" ht="18" customHeight="1">
      <c r="A82" s="40"/>
      <c r="B82" s="45" t="s">
        <v>151</v>
      </c>
      <c r="C82" s="17"/>
      <c r="D82" s="26"/>
      <c r="E82" s="26">
        <v>3.5</v>
      </c>
      <c r="F82" s="26">
        <v>11.5</v>
      </c>
      <c r="G82" s="53"/>
      <c r="H82" s="53"/>
    </row>
    <row r="83" spans="1:8" ht="18" customHeight="1">
      <c r="A83" s="40"/>
      <c r="B83" s="45" t="s">
        <v>117</v>
      </c>
      <c r="C83" s="17"/>
      <c r="D83" s="26"/>
      <c r="E83" s="26"/>
      <c r="F83" s="26"/>
      <c r="G83" s="53">
        <f t="shared" si="10"/>
        <v>0</v>
      </c>
      <c r="H83" s="53" t="e">
        <f t="shared" si="11"/>
        <v>#DIV/0!</v>
      </c>
    </row>
    <row r="84" spans="1:8" ht="18" customHeight="1">
      <c r="A84" s="40"/>
      <c r="B84" s="45" t="s">
        <v>118</v>
      </c>
      <c r="C84" s="17"/>
      <c r="D84" s="26">
        <f>5.1</f>
        <v>5.0999999999999996</v>
      </c>
      <c r="E84" s="26">
        <f>6</f>
        <v>6</v>
      </c>
      <c r="F84" s="26">
        <v>5.9</v>
      </c>
      <c r="G84" s="53">
        <f t="shared" si="10"/>
        <v>-9.9999999999999645E-2</v>
      </c>
      <c r="H84" s="53">
        <f t="shared" si="11"/>
        <v>98.333333333333343</v>
      </c>
    </row>
    <row r="85" spans="1:8" ht="18" customHeight="1">
      <c r="A85" s="57"/>
      <c r="B85" s="45" t="s">
        <v>154</v>
      </c>
      <c r="C85" s="10"/>
      <c r="D85" s="26">
        <v>20</v>
      </c>
      <c r="E85" s="26">
        <v>10</v>
      </c>
      <c r="F85" s="26"/>
      <c r="G85" s="53">
        <f t="shared" si="10"/>
        <v>-10</v>
      </c>
      <c r="H85" s="53">
        <f t="shared" si="11"/>
        <v>0</v>
      </c>
    </row>
    <row r="86" spans="1:8" ht="18" customHeight="1">
      <c r="A86" s="283" t="s">
        <v>232</v>
      </c>
      <c r="B86" s="284"/>
      <c r="C86" s="17">
        <v>1025</v>
      </c>
      <c r="D86" s="220">
        <f>SUM(D87:D101)</f>
        <v>161.90000000000003</v>
      </c>
      <c r="E86" s="220">
        <f>SUM(E87:E101)</f>
        <v>309.90000000000003</v>
      </c>
      <c r="F86" s="220">
        <f>SUM(F87:F102)</f>
        <v>348.79999999999995</v>
      </c>
      <c r="G86" s="21">
        <f t="shared" si="10"/>
        <v>38.89999999999992</v>
      </c>
      <c r="H86" s="21">
        <f t="shared" si="11"/>
        <v>112.55243626976441</v>
      </c>
    </row>
    <row r="87" spans="1:8" ht="18" customHeight="1">
      <c r="A87" s="40"/>
      <c r="B87" s="45" t="s">
        <v>121</v>
      </c>
      <c r="C87" s="17"/>
      <c r="D87" s="26">
        <v>35</v>
      </c>
      <c r="E87" s="26">
        <v>34</v>
      </c>
      <c r="F87" s="26">
        <v>43.6</v>
      </c>
      <c r="G87" s="53">
        <f t="shared" si="10"/>
        <v>9.6000000000000014</v>
      </c>
      <c r="H87" s="53">
        <f t="shared" si="11"/>
        <v>128.23529411764707</v>
      </c>
    </row>
    <row r="88" spans="1:8" ht="18" customHeight="1">
      <c r="A88" s="40"/>
      <c r="B88" s="45" t="s">
        <v>195</v>
      </c>
      <c r="C88" s="17"/>
      <c r="D88" s="26">
        <v>46</v>
      </c>
      <c r="E88" s="26">
        <v>108</v>
      </c>
      <c r="F88" s="26">
        <v>99.4</v>
      </c>
      <c r="G88" s="53">
        <f t="shared" si="10"/>
        <v>-8.5999999999999943</v>
      </c>
      <c r="H88" s="53">
        <f t="shared" si="11"/>
        <v>92.037037037037038</v>
      </c>
    </row>
    <row r="89" spans="1:8" ht="18" customHeight="1">
      <c r="A89" s="40"/>
      <c r="B89" s="45" t="s">
        <v>135</v>
      </c>
      <c r="C89" s="17"/>
      <c r="D89" s="26"/>
      <c r="E89" s="26"/>
      <c r="F89" s="26"/>
      <c r="G89" s="53">
        <f t="shared" si="10"/>
        <v>0</v>
      </c>
      <c r="H89" s="53"/>
    </row>
    <row r="90" spans="1:8" ht="18" customHeight="1">
      <c r="A90" s="40"/>
      <c r="B90" s="45" t="s">
        <v>160</v>
      </c>
      <c r="C90" s="17"/>
      <c r="D90" s="26">
        <v>15.2</v>
      </c>
      <c r="E90" s="26">
        <v>35</v>
      </c>
      <c r="F90" s="26">
        <v>28.4</v>
      </c>
      <c r="G90" s="53">
        <f t="shared" si="10"/>
        <v>-6.6000000000000014</v>
      </c>
      <c r="H90" s="53"/>
    </row>
    <row r="91" spans="1:8" ht="18" customHeight="1">
      <c r="A91" s="40"/>
      <c r="B91" s="45" t="s">
        <v>161</v>
      </c>
      <c r="C91" s="17"/>
      <c r="D91" s="26"/>
      <c r="E91" s="26">
        <v>40</v>
      </c>
      <c r="F91" s="26">
        <v>28.2</v>
      </c>
      <c r="G91" s="53">
        <f t="shared" si="10"/>
        <v>-11.8</v>
      </c>
      <c r="H91" s="53"/>
    </row>
    <row r="92" spans="1:8" ht="18" customHeight="1">
      <c r="A92" s="40"/>
      <c r="B92" s="45" t="s">
        <v>177</v>
      </c>
      <c r="C92" s="17"/>
      <c r="D92" s="26"/>
      <c r="E92" s="26"/>
      <c r="F92" s="26"/>
      <c r="G92" s="53">
        <f t="shared" si="10"/>
        <v>0</v>
      </c>
      <c r="H92" s="53"/>
    </row>
    <row r="93" spans="1:8" ht="18" customHeight="1">
      <c r="A93" s="40"/>
      <c r="B93" s="45" t="s">
        <v>131</v>
      </c>
      <c r="C93" s="17"/>
      <c r="D93" s="26">
        <v>31.6</v>
      </c>
      <c r="E93" s="26">
        <v>60</v>
      </c>
      <c r="F93" s="26">
        <f>89.8</f>
        <v>89.8</v>
      </c>
      <c r="G93" s="53">
        <f t="shared" si="10"/>
        <v>29.799999999999997</v>
      </c>
      <c r="H93" s="53">
        <f t="shared" si="11"/>
        <v>149.66666666666666</v>
      </c>
    </row>
    <row r="94" spans="1:8" ht="18" customHeight="1">
      <c r="A94" s="40"/>
      <c r="B94" s="45" t="s">
        <v>132</v>
      </c>
      <c r="C94" s="17"/>
      <c r="D94" s="26">
        <v>1.9</v>
      </c>
      <c r="E94" s="26">
        <v>2.8</v>
      </c>
      <c r="F94" s="26">
        <f>2.4</f>
        <v>2.4</v>
      </c>
      <c r="G94" s="53">
        <f t="shared" si="10"/>
        <v>-0.39999999999999991</v>
      </c>
      <c r="H94" s="53">
        <f t="shared" si="11"/>
        <v>85.714285714285722</v>
      </c>
    </row>
    <row r="95" spans="1:8" ht="18" customHeight="1">
      <c r="A95" s="40"/>
      <c r="B95" s="45" t="s">
        <v>133</v>
      </c>
      <c r="C95" s="17"/>
      <c r="D95" s="26">
        <v>13.1</v>
      </c>
      <c r="E95" s="26">
        <v>25</v>
      </c>
      <c r="F95" s="26">
        <v>26.5</v>
      </c>
      <c r="G95" s="53">
        <f t="shared" si="10"/>
        <v>1.5</v>
      </c>
      <c r="H95" s="53">
        <f t="shared" si="11"/>
        <v>106</v>
      </c>
    </row>
    <row r="96" spans="1:8" ht="18" customHeight="1">
      <c r="A96" s="40"/>
      <c r="B96" s="45" t="s">
        <v>134</v>
      </c>
      <c r="C96" s="17"/>
      <c r="D96" s="26">
        <v>0.9</v>
      </c>
      <c r="E96" s="26">
        <v>2.2000000000000002</v>
      </c>
      <c r="F96" s="26">
        <f>1.3</f>
        <v>1.3</v>
      </c>
      <c r="G96" s="53">
        <f t="shared" si="10"/>
        <v>-0.90000000000000013</v>
      </c>
      <c r="H96" s="53">
        <f t="shared" si="11"/>
        <v>59.090909090909079</v>
      </c>
    </row>
    <row r="97" spans="1:8" ht="18" customHeight="1">
      <c r="A97" s="40"/>
      <c r="B97" s="45" t="s">
        <v>136</v>
      </c>
      <c r="C97" s="17"/>
      <c r="D97" s="26"/>
      <c r="E97" s="26"/>
      <c r="F97" s="26"/>
      <c r="G97" s="53">
        <f t="shared" si="10"/>
        <v>0</v>
      </c>
      <c r="H97" s="53"/>
    </row>
    <row r="98" spans="1:8" ht="36.75" customHeight="1">
      <c r="A98" s="40"/>
      <c r="B98" s="45" t="s">
        <v>162</v>
      </c>
      <c r="C98" s="17"/>
      <c r="D98" s="26">
        <v>2.1</v>
      </c>
      <c r="E98" s="26">
        <v>2.6</v>
      </c>
      <c r="F98" s="26">
        <v>1.5</v>
      </c>
      <c r="G98" s="53">
        <f t="shared" si="10"/>
        <v>-1.1000000000000001</v>
      </c>
      <c r="H98" s="53"/>
    </row>
    <row r="99" spans="1:8" ht="18" customHeight="1">
      <c r="A99" s="40"/>
      <c r="B99" s="45" t="s">
        <v>38</v>
      </c>
      <c r="C99" s="17"/>
      <c r="D99" s="26">
        <v>0.3</v>
      </c>
      <c r="E99" s="26">
        <v>0.3</v>
      </c>
      <c r="F99" s="26">
        <v>0.2</v>
      </c>
      <c r="G99" s="53">
        <f t="shared" si="10"/>
        <v>-9.9999999999999978E-2</v>
      </c>
      <c r="H99" s="53"/>
    </row>
    <row r="100" spans="1:8" ht="18" customHeight="1">
      <c r="A100" s="40"/>
      <c r="B100" s="45" t="s">
        <v>179</v>
      </c>
      <c r="C100" s="17"/>
      <c r="D100" s="26">
        <v>14</v>
      </c>
      <c r="E100" s="26"/>
      <c r="F100" s="26"/>
      <c r="G100" s="53">
        <f t="shared" ref="G100:G107" si="12">F100-E100</f>
        <v>0</v>
      </c>
      <c r="H100" s="53"/>
    </row>
    <row r="101" spans="1:8" ht="37.5" customHeight="1">
      <c r="A101" s="40"/>
      <c r="B101" s="45" t="s">
        <v>314</v>
      </c>
      <c r="C101" s="17"/>
      <c r="D101" s="26">
        <v>1.8</v>
      </c>
      <c r="E101" s="26"/>
      <c r="F101" s="26">
        <v>1.2</v>
      </c>
      <c r="G101" s="53">
        <f t="shared" si="12"/>
        <v>1.2</v>
      </c>
      <c r="H101" s="53"/>
    </row>
    <row r="102" spans="1:8" ht="18.75" customHeight="1">
      <c r="A102" s="173"/>
      <c r="B102" s="20" t="s">
        <v>309</v>
      </c>
      <c r="C102" s="10"/>
      <c r="D102" s="26"/>
      <c r="E102" s="26"/>
      <c r="F102" s="26">
        <v>26.3</v>
      </c>
      <c r="G102" s="53"/>
      <c r="H102" s="53"/>
    </row>
    <row r="103" spans="1:8" ht="22.5" customHeight="1">
      <c r="A103" s="288" t="s">
        <v>10</v>
      </c>
      <c r="B103" s="289"/>
      <c r="C103" s="17">
        <v>1030</v>
      </c>
      <c r="D103" s="42"/>
      <c r="E103" s="42"/>
      <c r="F103" s="42"/>
      <c r="G103" s="21"/>
      <c r="H103" s="21"/>
    </row>
    <row r="104" spans="1:8" ht="18" customHeight="1">
      <c r="A104" s="283" t="s">
        <v>233</v>
      </c>
      <c r="B104" s="284"/>
      <c r="C104" s="51">
        <v>1035</v>
      </c>
      <c r="D104" s="42">
        <f>SUM(D106:D107)</f>
        <v>198.6</v>
      </c>
      <c r="E104" s="42">
        <f>SUM(E106:E107)</f>
        <v>245</v>
      </c>
      <c r="F104" s="42">
        <f>SUM(F105:F107)</f>
        <v>260.89999999999998</v>
      </c>
      <c r="G104" s="21">
        <f t="shared" si="12"/>
        <v>15.899999999999977</v>
      </c>
      <c r="H104" s="21">
        <f t="shared" ref="H104:H106" si="13">(F104/E104)*100</f>
        <v>106.48979591836734</v>
      </c>
    </row>
    <row r="105" spans="1:8" ht="57" customHeight="1">
      <c r="A105" s="204"/>
      <c r="B105" s="45" t="s">
        <v>376</v>
      </c>
      <c r="C105" s="205"/>
      <c r="D105" s="26"/>
      <c r="E105" s="26"/>
      <c r="F105" s="26">
        <v>9</v>
      </c>
      <c r="G105" s="53"/>
      <c r="H105" s="53"/>
    </row>
    <row r="106" spans="1:8" ht="18" customHeight="1">
      <c r="A106" s="10"/>
      <c r="B106" s="45" t="s">
        <v>139</v>
      </c>
      <c r="C106" s="58"/>
      <c r="D106" s="26">
        <v>92.1</v>
      </c>
      <c r="E106" s="26">
        <v>125</v>
      </c>
      <c r="F106" s="26">
        <v>109.2</v>
      </c>
      <c r="G106" s="53">
        <f t="shared" si="12"/>
        <v>-15.799999999999997</v>
      </c>
      <c r="H106" s="53">
        <f t="shared" si="13"/>
        <v>87.36</v>
      </c>
    </row>
    <row r="107" spans="1:8" ht="18" customHeight="1">
      <c r="A107" s="10"/>
      <c r="B107" s="45" t="s">
        <v>144</v>
      </c>
      <c r="C107" s="58"/>
      <c r="D107" s="26">
        <v>106.5</v>
      </c>
      <c r="E107" s="26">
        <v>120</v>
      </c>
      <c r="F107" s="26">
        <v>142.69999999999999</v>
      </c>
      <c r="G107" s="53">
        <f t="shared" si="12"/>
        <v>22.699999999999989</v>
      </c>
      <c r="H107" s="21"/>
    </row>
    <row r="108" spans="1:8" ht="72" customHeight="1">
      <c r="B108" s="278" t="s">
        <v>141</v>
      </c>
      <c r="C108" s="278"/>
      <c r="D108" s="276"/>
      <c r="E108" s="276"/>
      <c r="F108" s="287" t="s">
        <v>142</v>
      </c>
      <c r="G108" s="287"/>
      <c r="H108" s="287"/>
    </row>
    <row r="109" spans="1:8" s="18" customFormat="1" ht="18.75" customHeight="1">
      <c r="B109" s="210" t="s">
        <v>54</v>
      </c>
      <c r="C109" s="32"/>
      <c r="D109" s="277" t="s">
        <v>9</v>
      </c>
      <c r="E109" s="277"/>
      <c r="F109" s="290" t="s">
        <v>14</v>
      </c>
      <c r="G109" s="290"/>
      <c r="H109" s="290"/>
    </row>
    <row r="110" spans="1:8">
      <c r="B110" s="7"/>
    </row>
    <row r="111" spans="1:8">
      <c r="B111" s="7"/>
    </row>
    <row r="112" spans="1:8">
      <c r="B112" s="7"/>
    </row>
    <row r="113" spans="2:2">
      <c r="B113" s="7"/>
    </row>
    <row r="114" spans="2:2">
      <c r="B114" s="7"/>
    </row>
    <row r="115" spans="2:2">
      <c r="B115" s="7"/>
    </row>
    <row r="116" spans="2:2">
      <c r="B116" s="7"/>
    </row>
    <row r="117" spans="2:2">
      <c r="B117" s="7"/>
    </row>
    <row r="118" spans="2:2">
      <c r="B118" s="7"/>
    </row>
    <row r="119" spans="2:2">
      <c r="B119" s="7"/>
    </row>
    <row r="120" spans="2:2">
      <c r="B120" s="7"/>
    </row>
    <row r="121" spans="2:2">
      <c r="B121" s="7"/>
    </row>
    <row r="122" spans="2:2">
      <c r="B122" s="7"/>
    </row>
    <row r="123" spans="2:2">
      <c r="B123" s="7"/>
    </row>
    <row r="124" spans="2:2">
      <c r="B124" s="7"/>
    </row>
    <row r="125" spans="2:2">
      <c r="B125" s="7"/>
    </row>
    <row r="126" spans="2:2">
      <c r="B126" s="7"/>
    </row>
    <row r="127" spans="2:2">
      <c r="B127" s="7"/>
    </row>
    <row r="128" spans="2:2">
      <c r="B128" s="7"/>
    </row>
    <row r="129" spans="2:2">
      <c r="B129" s="7"/>
    </row>
    <row r="130" spans="2:2">
      <c r="B130" s="7"/>
    </row>
    <row r="131" spans="2:2">
      <c r="B131" s="7"/>
    </row>
    <row r="132" spans="2:2">
      <c r="B132" s="7"/>
    </row>
    <row r="133" spans="2:2">
      <c r="B133" s="7"/>
    </row>
    <row r="134" spans="2:2">
      <c r="B134" s="7"/>
    </row>
    <row r="135" spans="2:2">
      <c r="B135" s="7"/>
    </row>
    <row r="136" spans="2:2">
      <c r="B136" s="7"/>
    </row>
    <row r="137" spans="2:2">
      <c r="B137" s="7"/>
    </row>
    <row r="138" spans="2:2">
      <c r="B138" s="7"/>
    </row>
    <row r="139" spans="2:2">
      <c r="B139" s="7"/>
    </row>
    <row r="140" spans="2:2">
      <c r="B140" s="7"/>
    </row>
    <row r="141" spans="2:2">
      <c r="B141" s="7"/>
    </row>
    <row r="142" spans="2:2">
      <c r="B142" s="7"/>
    </row>
    <row r="143" spans="2:2">
      <c r="B143" s="7"/>
    </row>
    <row r="144" spans="2:2">
      <c r="B144" s="7"/>
    </row>
    <row r="145" spans="2:2">
      <c r="B145" s="7"/>
    </row>
    <row r="146" spans="2:2">
      <c r="B146" s="7"/>
    </row>
    <row r="147" spans="2:2">
      <c r="B147" s="7"/>
    </row>
    <row r="148" spans="2:2">
      <c r="B148" s="7"/>
    </row>
    <row r="149" spans="2:2">
      <c r="B149" s="7"/>
    </row>
    <row r="150" spans="2:2">
      <c r="B150" s="7"/>
    </row>
    <row r="151" spans="2:2">
      <c r="B151" s="7"/>
    </row>
    <row r="152" spans="2:2">
      <c r="B152" s="7"/>
    </row>
    <row r="153" spans="2:2">
      <c r="B153" s="7"/>
    </row>
    <row r="154" spans="2:2">
      <c r="B154" s="7"/>
    </row>
    <row r="155" spans="2:2">
      <c r="B155" s="7"/>
    </row>
    <row r="156" spans="2:2">
      <c r="B156" s="7"/>
    </row>
    <row r="157" spans="2:2">
      <c r="B157" s="7"/>
    </row>
    <row r="158" spans="2:2">
      <c r="B158" s="7"/>
    </row>
    <row r="159" spans="2:2">
      <c r="B159" s="7"/>
    </row>
    <row r="160" spans="2:2">
      <c r="B160" s="7"/>
    </row>
    <row r="161" spans="2:2">
      <c r="B161" s="7"/>
    </row>
    <row r="162" spans="2:2">
      <c r="B162" s="7"/>
    </row>
    <row r="163" spans="2:2">
      <c r="B163" s="7"/>
    </row>
    <row r="164" spans="2:2">
      <c r="B164" s="7"/>
    </row>
    <row r="165" spans="2:2">
      <c r="B165" s="7"/>
    </row>
    <row r="166" spans="2:2">
      <c r="B166" s="7"/>
    </row>
    <row r="167" spans="2:2">
      <c r="B167" s="7"/>
    </row>
    <row r="168" spans="2:2">
      <c r="B168" s="7"/>
    </row>
    <row r="169" spans="2:2">
      <c r="B169" s="7"/>
    </row>
    <row r="170" spans="2:2">
      <c r="B170" s="7"/>
    </row>
    <row r="171" spans="2:2">
      <c r="B171" s="7"/>
    </row>
    <row r="172" spans="2:2">
      <c r="B172" s="7"/>
    </row>
    <row r="173" spans="2:2">
      <c r="B173" s="7"/>
    </row>
    <row r="174" spans="2:2">
      <c r="B174" s="7"/>
    </row>
    <row r="175" spans="2:2">
      <c r="B175" s="7"/>
    </row>
    <row r="176" spans="2:2">
      <c r="B176" s="7"/>
    </row>
    <row r="177" spans="2:2">
      <c r="B177" s="7"/>
    </row>
    <row r="178" spans="2:2">
      <c r="B178" s="7"/>
    </row>
    <row r="179" spans="2:2">
      <c r="B179" s="7"/>
    </row>
    <row r="180" spans="2:2">
      <c r="B180" s="7"/>
    </row>
    <row r="181" spans="2:2">
      <c r="B181" s="7"/>
    </row>
    <row r="182" spans="2:2">
      <c r="B182" s="7"/>
    </row>
    <row r="183" spans="2:2">
      <c r="B183" s="7"/>
    </row>
    <row r="184" spans="2:2">
      <c r="B184" s="7"/>
    </row>
    <row r="185" spans="2:2">
      <c r="B185" s="7"/>
    </row>
    <row r="186" spans="2:2">
      <c r="B186" s="7"/>
    </row>
    <row r="187" spans="2:2">
      <c r="B187" s="7"/>
    </row>
    <row r="188" spans="2:2">
      <c r="B188" s="7"/>
    </row>
    <row r="189" spans="2:2">
      <c r="B189" s="7"/>
    </row>
    <row r="190" spans="2:2">
      <c r="B190" s="7"/>
    </row>
    <row r="191" spans="2:2">
      <c r="B191" s="7"/>
    </row>
    <row r="192" spans="2:2">
      <c r="B192" s="7"/>
    </row>
    <row r="193" spans="2:2">
      <c r="B193" s="7"/>
    </row>
    <row r="194" spans="2:2">
      <c r="B194" s="7"/>
    </row>
    <row r="195" spans="2:2">
      <c r="B195" s="7"/>
    </row>
    <row r="196" spans="2:2">
      <c r="B196" s="7"/>
    </row>
    <row r="197" spans="2:2">
      <c r="B197" s="7"/>
    </row>
    <row r="198" spans="2:2">
      <c r="B198" s="7"/>
    </row>
    <row r="199" spans="2:2">
      <c r="B199" s="7"/>
    </row>
    <row r="200" spans="2:2">
      <c r="B200" s="7"/>
    </row>
    <row r="201" spans="2:2">
      <c r="B201" s="7"/>
    </row>
    <row r="202" spans="2:2">
      <c r="B202" s="7"/>
    </row>
    <row r="203" spans="2:2">
      <c r="B203" s="7"/>
    </row>
    <row r="204" spans="2:2">
      <c r="B204" s="7"/>
    </row>
    <row r="205" spans="2:2">
      <c r="B205" s="7"/>
    </row>
    <row r="206" spans="2:2">
      <c r="B206" s="7"/>
    </row>
    <row r="207" spans="2:2">
      <c r="B207" s="7"/>
    </row>
    <row r="208" spans="2:2">
      <c r="B208" s="7"/>
    </row>
    <row r="209" spans="2:2">
      <c r="B209" s="7"/>
    </row>
    <row r="210" spans="2:2">
      <c r="B210" s="7"/>
    </row>
    <row r="211" spans="2:2">
      <c r="B211" s="7"/>
    </row>
    <row r="212" spans="2:2">
      <c r="B212" s="7"/>
    </row>
    <row r="213" spans="2:2">
      <c r="B213" s="7"/>
    </row>
  </sheetData>
  <mergeCells count="20">
    <mergeCell ref="A103:B103"/>
    <mergeCell ref="F109:H109"/>
    <mergeCell ref="A86:B86"/>
    <mergeCell ref="A104:B104"/>
    <mergeCell ref="A1:H1"/>
    <mergeCell ref="D108:E108"/>
    <mergeCell ref="D109:E109"/>
    <mergeCell ref="B108:C108"/>
    <mergeCell ref="A23:B23"/>
    <mergeCell ref="A5:B5"/>
    <mergeCell ref="A6:B6"/>
    <mergeCell ref="A10:B10"/>
    <mergeCell ref="A18:B18"/>
    <mergeCell ref="A20:B20"/>
    <mergeCell ref="A25:B25"/>
    <mergeCell ref="A46:B46"/>
    <mergeCell ref="A79:B79"/>
    <mergeCell ref="F108:H108"/>
    <mergeCell ref="A24:B24"/>
    <mergeCell ref="A78:B78"/>
  </mergeCells>
  <pageMargins left="0.78740157480314965" right="0.39370078740157483" top="0.59055118110236227" bottom="0.59055118110236227" header="0.39370078740157483" footer="0.1968503937007874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J232"/>
  <sheetViews>
    <sheetView tabSelected="1" view="pageBreakPreview" topLeftCell="A116" zoomScale="80" zoomScaleNormal="70" zoomScaleSheetLayoutView="80" workbookViewId="0">
      <selection activeCell="N128" sqref="N128"/>
    </sheetView>
  </sheetViews>
  <sheetFormatPr defaultRowHeight="18.75"/>
  <cols>
    <col min="1" max="1" width="6.85546875" style="65" customWidth="1"/>
    <col min="2" max="2" width="58.85546875" style="5" customWidth="1"/>
    <col min="3" max="3" width="6.42578125" style="172" customWidth="1"/>
    <col min="4" max="4" width="13" style="213" customWidth="1"/>
    <col min="5" max="6" width="14.7109375" style="213" customWidth="1"/>
    <col min="7" max="7" width="14.5703125" style="5" customWidth="1"/>
    <col min="8" max="8" width="9.85546875" style="5" customWidth="1"/>
    <col min="9" max="13" width="9.140625" style="5"/>
    <col min="14" max="14" width="26" style="5" customWidth="1"/>
    <col min="15" max="16384" width="9.140625" style="5"/>
  </cols>
  <sheetData>
    <row r="1" spans="1:8" ht="47.25" customHeight="1">
      <c r="A1" s="62"/>
      <c r="B1" s="275" t="s">
        <v>102</v>
      </c>
      <c r="C1" s="275"/>
      <c r="D1" s="275"/>
      <c r="E1" s="275"/>
      <c r="F1" s="275"/>
      <c r="G1" s="275"/>
      <c r="H1" s="275"/>
    </row>
    <row r="2" spans="1:8" s="65" customFormat="1" ht="14.25" customHeight="1">
      <c r="A2" s="62"/>
      <c r="B2" s="63"/>
      <c r="C2" s="64"/>
      <c r="D2" s="63"/>
      <c r="E2" s="63"/>
      <c r="F2" s="63"/>
      <c r="G2" s="62"/>
      <c r="H2" s="62" t="s">
        <v>59</v>
      </c>
    </row>
    <row r="3" spans="1:8" s="6" customFormat="1" ht="63" customHeight="1">
      <c r="A3" s="12" t="s">
        <v>6</v>
      </c>
      <c r="B3" s="12" t="s">
        <v>20</v>
      </c>
      <c r="C3" s="214" t="s">
        <v>4</v>
      </c>
      <c r="D3" s="13" t="s">
        <v>320</v>
      </c>
      <c r="E3" s="12" t="s">
        <v>321</v>
      </c>
      <c r="F3" s="13" t="s">
        <v>322</v>
      </c>
      <c r="G3" s="43" t="s">
        <v>217</v>
      </c>
      <c r="H3" s="43" t="s">
        <v>218</v>
      </c>
    </row>
    <row r="4" spans="1:8" s="6" customFormat="1" ht="19.5" customHeight="1">
      <c r="A4" s="66">
        <v>1</v>
      </c>
      <c r="B4" s="66">
        <v>2</v>
      </c>
      <c r="C4" s="66">
        <v>3</v>
      </c>
      <c r="D4" s="66">
        <v>4</v>
      </c>
      <c r="E4" s="66">
        <v>5</v>
      </c>
      <c r="F4" s="66">
        <v>6</v>
      </c>
      <c r="G4" s="66">
        <v>7</v>
      </c>
      <c r="H4" s="66">
        <v>8</v>
      </c>
    </row>
    <row r="5" spans="1:8" s="6" customFormat="1" ht="31.5" customHeight="1">
      <c r="A5" s="283" t="s">
        <v>70</v>
      </c>
      <c r="B5" s="284"/>
      <c r="C5" s="162"/>
      <c r="D5" s="221">
        <f>SUM(D6,D77,D91,D98,D124,D129,D141,D148,D178,D188,D192)</f>
        <v>80239.3</v>
      </c>
      <c r="E5" s="221">
        <f>SUM(E6,E77,E91,E98,E124,E129,E141,E148,E178,E188,E192)</f>
        <v>112321.7</v>
      </c>
      <c r="F5" s="221">
        <f>SUM(F6,F77,F91,F98,F124,F129,F141,F148,F178,F188,F192)</f>
        <v>132710</v>
      </c>
      <c r="G5" s="100">
        <f t="shared" ref="G5" si="0">F5-E5</f>
        <v>20388.300000000003</v>
      </c>
      <c r="H5" s="100">
        <f t="shared" ref="H5" si="1">(F5/E5)*100</f>
        <v>118.15170176377316</v>
      </c>
    </row>
    <row r="6" spans="1:8" s="6" customFormat="1" ht="36.75" customHeight="1">
      <c r="A6" s="119" t="s">
        <v>71</v>
      </c>
      <c r="B6" s="40" t="s">
        <v>103</v>
      </c>
      <c r="C6" s="163"/>
      <c r="D6" s="38">
        <f>SUM(D8,D51,D70)</f>
        <v>66183.7</v>
      </c>
      <c r="E6" s="38">
        <f>SUM(E8,E51,E70)</f>
        <v>93819.999999999985</v>
      </c>
      <c r="F6" s="38">
        <f>SUM(F8,F24,F51,F70)</f>
        <v>106088.9</v>
      </c>
      <c r="G6" s="116">
        <f>F6-E6</f>
        <v>12268.900000000009</v>
      </c>
      <c r="H6" s="116">
        <f>(F6/E6)*100</f>
        <v>113.07706246002986</v>
      </c>
    </row>
    <row r="7" spans="1:8" s="6" customFormat="1" ht="18.75" customHeight="1">
      <c r="A7" s="114"/>
      <c r="B7" s="44" t="s">
        <v>72</v>
      </c>
      <c r="C7" s="162"/>
      <c r="D7" s="36"/>
      <c r="E7" s="36"/>
      <c r="F7" s="36"/>
      <c r="G7" s="11"/>
      <c r="H7" s="11"/>
    </row>
    <row r="8" spans="1:8" s="6" customFormat="1" ht="36.75" customHeight="1">
      <c r="A8" s="120" t="s">
        <v>73</v>
      </c>
      <c r="B8" s="27" t="s">
        <v>76</v>
      </c>
      <c r="C8" s="164">
        <v>1010</v>
      </c>
      <c r="D8" s="222">
        <f>SUM(D9,D22,D23,D24)</f>
        <v>60194.5</v>
      </c>
      <c r="E8" s="222">
        <f>SUM(E9,E22,E23,E24)</f>
        <v>77575.799999999988</v>
      </c>
      <c r="F8" s="222">
        <f>SUM(F9,F22,F23,)</f>
        <v>97810.099999999991</v>
      </c>
      <c r="G8" s="90">
        <f t="shared" ref="G8:G19" si="2">F8-E8</f>
        <v>20234.300000000003</v>
      </c>
      <c r="H8" s="90">
        <f t="shared" ref="H8:H9" si="3">(F8/E8)*100</f>
        <v>126.08326307946551</v>
      </c>
    </row>
    <row r="9" spans="1:8" s="6" customFormat="1" ht="22.5" customHeight="1">
      <c r="A9" s="121" t="s">
        <v>181</v>
      </c>
      <c r="B9" s="44" t="s">
        <v>91</v>
      </c>
      <c r="C9" s="164">
        <v>1011</v>
      </c>
      <c r="D9" s="222">
        <f>SUM(D10:D21)</f>
        <v>14552.8</v>
      </c>
      <c r="E9" s="222">
        <f>SUM(E10:E21)</f>
        <v>12812.7</v>
      </c>
      <c r="F9" s="222">
        <f>SUM(F10:F21)</f>
        <v>17297.599999999999</v>
      </c>
      <c r="G9" s="90">
        <f t="shared" si="2"/>
        <v>4484.8999999999978</v>
      </c>
      <c r="H9" s="90">
        <f t="shared" si="3"/>
        <v>135.00355116407937</v>
      </c>
    </row>
    <row r="10" spans="1:8" s="6" customFormat="1" ht="37.5">
      <c r="A10" s="122"/>
      <c r="B10" s="39" t="s">
        <v>220</v>
      </c>
      <c r="C10" s="114"/>
      <c r="D10" s="36">
        <v>51</v>
      </c>
      <c r="E10" s="36">
        <v>80</v>
      </c>
      <c r="F10" s="36">
        <v>116</v>
      </c>
      <c r="G10" s="14">
        <f t="shared" si="2"/>
        <v>36</v>
      </c>
      <c r="H10" s="14">
        <f>G10/F10*100</f>
        <v>31.03448275862069</v>
      </c>
    </row>
    <row r="11" spans="1:8" s="6" customFormat="1" ht="54" customHeight="1">
      <c r="A11" s="122"/>
      <c r="B11" s="20" t="s">
        <v>339</v>
      </c>
      <c r="C11" s="114"/>
      <c r="D11" s="36">
        <v>72.599999999999994</v>
      </c>
      <c r="E11" s="36">
        <v>105</v>
      </c>
      <c r="F11" s="36">
        <v>202.6</v>
      </c>
      <c r="G11" s="14">
        <f t="shared" si="2"/>
        <v>97.6</v>
      </c>
      <c r="H11" s="14">
        <f t="shared" ref="H11:H19" si="4">G11/F11*100</f>
        <v>48.173741362290222</v>
      </c>
    </row>
    <row r="12" spans="1:8" s="6" customFormat="1" ht="18" customHeight="1">
      <c r="A12" s="122"/>
      <c r="B12" s="45" t="s">
        <v>116</v>
      </c>
      <c r="C12" s="114"/>
      <c r="D12" s="36"/>
      <c r="E12" s="36"/>
      <c r="F12" s="36"/>
      <c r="G12" s="14">
        <f t="shared" si="2"/>
        <v>0</v>
      </c>
      <c r="H12" s="14"/>
    </row>
    <row r="13" spans="1:8" s="6" customFormat="1" ht="18" customHeight="1">
      <c r="A13" s="122"/>
      <c r="B13" s="45" t="s">
        <v>151</v>
      </c>
      <c r="C13" s="114"/>
      <c r="D13" s="36">
        <v>21.4</v>
      </c>
      <c r="E13" s="36">
        <v>33</v>
      </c>
      <c r="F13" s="36">
        <v>34.700000000000003</v>
      </c>
      <c r="G13" s="14">
        <f t="shared" si="2"/>
        <v>1.7000000000000028</v>
      </c>
      <c r="H13" s="14">
        <f t="shared" si="4"/>
        <v>4.8991354466858867</v>
      </c>
    </row>
    <row r="14" spans="1:8" s="6" customFormat="1" ht="18" customHeight="1">
      <c r="A14" s="122"/>
      <c r="B14" s="45" t="s">
        <v>117</v>
      </c>
      <c r="C14" s="114"/>
      <c r="D14" s="36"/>
      <c r="E14" s="36">
        <v>4.7</v>
      </c>
      <c r="F14" s="36">
        <v>5.4</v>
      </c>
      <c r="G14" s="14">
        <f t="shared" si="2"/>
        <v>0.70000000000000018</v>
      </c>
      <c r="H14" s="14"/>
    </row>
    <row r="15" spans="1:8" s="6" customFormat="1" ht="18" customHeight="1">
      <c r="A15" s="122"/>
      <c r="B15" s="45" t="s">
        <v>155</v>
      </c>
      <c r="C15" s="114"/>
      <c r="D15" s="36">
        <v>36.700000000000003</v>
      </c>
      <c r="E15" s="36"/>
      <c r="F15" s="36"/>
      <c r="G15" s="14">
        <f t="shared" si="2"/>
        <v>0</v>
      </c>
      <c r="H15" s="76" t="e">
        <f t="shared" si="4"/>
        <v>#DIV/0!</v>
      </c>
    </row>
    <row r="16" spans="1:8" s="6" customFormat="1" ht="36.75" customHeight="1">
      <c r="A16" s="122"/>
      <c r="B16" s="45" t="s">
        <v>338</v>
      </c>
      <c r="C16" s="114"/>
      <c r="D16" s="36">
        <v>12.2</v>
      </c>
      <c r="E16" s="36">
        <v>40</v>
      </c>
      <c r="F16" s="36">
        <v>91.4</v>
      </c>
      <c r="G16" s="14">
        <f t="shared" si="2"/>
        <v>51.400000000000006</v>
      </c>
      <c r="H16" s="76">
        <f t="shared" si="4"/>
        <v>56.236323851203508</v>
      </c>
    </row>
    <row r="17" spans="1:8" s="6" customFormat="1" ht="18.75" customHeight="1">
      <c r="A17" s="122"/>
      <c r="B17" s="45" t="s">
        <v>153</v>
      </c>
      <c r="C17" s="114"/>
      <c r="D17" s="36">
        <v>2.6</v>
      </c>
      <c r="E17" s="36"/>
      <c r="F17" s="36"/>
      <c r="G17" s="14">
        <f t="shared" si="2"/>
        <v>0</v>
      </c>
      <c r="H17" s="76" t="e">
        <f t="shared" si="4"/>
        <v>#DIV/0!</v>
      </c>
    </row>
    <row r="18" spans="1:8" s="6" customFormat="1" ht="18" customHeight="1">
      <c r="A18" s="122"/>
      <c r="B18" s="45" t="s">
        <v>119</v>
      </c>
      <c r="C18" s="114"/>
      <c r="D18" s="36"/>
      <c r="E18" s="36"/>
      <c r="F18" s="36"/>
      <c r="G18" s="14">
        <f t="shared" si="2"/>
        <v>0</v>
      </c>
      <c r="H18" s="76"/>
    </row>
    <row r="19" spans="1:8" s="6" customFormat="1" ht="18" customHeight="1">
      <c r="A19" s="122"/>
      <c r="B19" s="45" t="s">
        <v>256</v>
      </c>
      <c r="C19" s="114"/>
      <c r="D19" s="36">
        <v>49.5</v>
      </c>
      <c r="E19" s="36"/>
      <c r="F19" s="36"/>
      <c r="G19" s="14">
        <f t="shared" si="2"/>
        <v>0</v>
      </c>
      <c r="H19" s="76" t="e">
        <f t="shared" si="4"/>
        <v>#DIV/0!</v>
      </c>
    </row>
    <row r="20" spans="1:8" s="6" customFormat="1" ht="18" customHeight="1">
      <c r="A20" s="122"/>
      <c r="B20" s="20" t="s">
        <v>115</v>
      </c>
      <c r="C20" s="114"/>
      <c r="D20" s="36">
        <v>13921.4</v>
      </c>
      <c r="E20" s="36">
        <v>12300</v>
      </c>
      <c r="F20" s="36">
        <v>16217.7</v>
      </c>
      <c r="G20" s="14">
        <f t="shared" ref="G20:G65" si="5">F20-E20</f>
        <v>3917.7000000000007</v>
      </c>
      <c r="H20" s="14">
        <f t="shared" ref="H20:H66" si="6">(F20/E20)*100</f>
        <v>131.85121951219512</v>
      </c>
    </row>
    <row r="21" spans="1:8" s="6" customFormat="1" ht="18" customHeight="1">
      <c r="A21" s="122"/>
      <c r="B21" s="20" t="s">
        <v>140</v>
      </c>
      <c r="C21" s="114"/>
      <c r="D21" s="36">
        <v>385.4</v>
      </c>
      <c r="E21" s="36">
        <v>250</v>
      </c>
      <c r="F21" s="36">
        <v>629.79999999999995</v>
      </c>
      <c r="G21" s="14">
        <f t="shared" si="5"/>
        <v>379.79999999999995</v>
      </c>
      <c r="H21" s="14"/>
    </row>
    <row r="22" spans="1:8" s="6" customFormat="1" ht="18" customHeight="1">
      <c r="A22" s="121" t="s">
        <v>182</v>
      </c>
      <c r="B22" s="44" t="s">
        <v>1</v>
      </c>
      <c r="C22" s="166">
        <v>1012</v>
      </c>
      <c r="D22" s="223">
        <v>36376.699999999997</v>
      </c>
      <c r="E22" s="223">
        <v>52385.7</v>
      </c>
      <c r="F22" s="223">
        <v>66115.7</v>
      </c>
      <c r="G22" s="16">
        <f t="shared" si="5"/>
        <v>13730</v>
      </c>
      <c r="H22" s="16">
        <f t="shared" si="6"/>
        <v>126.20944265324316</v>
      </c>
    </row>
    <row r="23" spans="1:8" s="6" customFormat="1" ht="23.25" customHeight="1">
      <c r="A23" s="121" t="s">
        <v>183</v>
      </c>
      <c r="B23" s="44" t="s">
        <v>2</v>
      </c>
      <c r="C23" s="166">
        <v>1013</v>
      </c>
      <c r="D23" s="223">
        <v>8045.7</v>
      </c>
      <c r="E23" s="223">
        <v>11494.4</v>
      </c>
      <c r="F23" s="223">
        <v>14396.8</v>
      </c>
      <c r="G23" s="16">
        <f t="shared" si="5"/>
        <v>2902.3999999999996</v>
      </c>
      <c r="H23" s="16">
        <f t="shared" si="6"/>
        <v>125.25055679287304</v>
      </c>
    </row>
    <row r="24" spans="1:8" s="6" customFormat="1" ht="18" customHeight="1">
      <c r="A24" s="120" t="s">
        <v>277</v>
      </c>
      <c r="B24" s="27" t="s">
        <v>81</v>
      </c>
      <c r="C24" s="164">
        <v>1015</v>
      </c>
      <c r="D24" s="222">
        <f>SUM(D25:D49)</f>
        <v>1219.3000000000002</v>
      </c>
      <c r="E24" s="222">
        <f>SUM(E25:E49)</f>
        <v>883</v>
      </c>
      <c r="F24" s="222">
        <f>SUM(F25:F50)</f>
        <v>688.09999999999991</v>
      </c>
      <c r="G24" s="90">
        <f t="shared" si="5"/>
        <v>-194.90000000000009</v>
      </c>
      <c r="H24" s="90">
        <f t="shared" si="6"/>
        <v>77.927519818799539</v>
      </c>
    </row>
    <row r="25" spans="1:8" ht="36.75" customHeight="1">
      <c r="A25" s="122"/>
      <c r="B25" s="39" t="s">
        <v>221</v>
      </c>
      <c r="C25" s="114"/>
      <c r="D25" s="36">
        <v>19.5</v>
      </c>
      <c r="E25" s="36">
        <v>27</v>
      </c>
      <c r="F25" s="36">
        <v>14.4</v>
      </c>
      <c r="G25" s="14">
        <f t="shared" si="5"/>
        <v>-12.6</v>
      </c>
      <c r="H25" s="14">
        <f t="shared" si="6"/>
        <v>53.333333333333336</v>
      </c>
    </row>
    <row r="26" spans="1:8" ht="36.75" customHeight="1">
      <c r="A26" s="122"/>
      <c r="B26" s="45" t="s">
        <v>222</v>
      </c>
      <c r="C26" s="114"/>
      <c r="D26" s="36">
        <v>2</v>
      </c>
      <c r="E26" s="36">
        <v>3</v>
      </c>
      <c r="F26" s="36">
        <v>7.8</v>
      </c>
      <c r="G26" s="14">
        <f t="shared" si="5"/>
        <v>4.8</v>
      </c>
      <c r="H26" s="14">
        <f t="shared" si="6"/>
        <v>260</v>
      </c>
    </row>
    <row r="27" spans="1:8" ht="18" customHeight="1">
      <c r="A27" s="122"/>
      <c r="B27" s="45" t="s">
        <v>122</v>
      </c>
      <c r="C27" s="119"/>
      <c r="D27" s="36">
        <v>17.3</v>
      </c>
      <c r="E27" s="36">
        <v>21</v>
      </c>
      <c r="F27" s="36">
        <v>22</v>
      </c>
      <c r="G27" s="14">
        <f t="shared" si="5"/>
        <v>1</v>
      </c>
      <c r="H27" s="14">
        <f t="shared" si="6"/>
        <v>104.76190476190477</v>
      </c>
    </row>
    <row r="28" spans="1:8" ht="18" customHeight="1">
      <c r="A28" s="122"/>
      <c r="B28" s="45" t="s">
        <v>223</v>
      </c>
      <c r="C28" s="119"/>
      <c r="D28" s="36">
        <v>6.6</v>
      </c>
      <c r="E28" s="36">
        <v>7</v>
      </c>
      <c r="F28" s="36">
        <v>4.5</v>
      </c>
      <c r="G28" s="14">
        <f t="shared" si="5"/>
        <v>-2.5</v>
      </c>
      <c r="H28" s="14">
        <f t="shared" si="6"/>
        <v>64.285714285714292</v>
      </c>
    </row>
    <row r="29" spans="1:8" ht="18" customHeight="1">
      <c r="A29" s="122"/>
      <c r="B29" s="45" t="s">
        <v>333</v>
      </c>
      <c r="C29" s="119"/>
      <c r="D29" s="36">
        <v>163.80000000000001</v>
      </c>
      <c r="E29" s="36">
        <v>180</v>
      </c>
      <c r="F29" s="36">
        <v>49.5</v>
      </c>
      <c r="G29" s="14">
        <f t="shared" si="5"/>
        <v>-130.5</v>
      </c>
      <c r="H29" s="76">
        <f t="shared" si="6"/>
        <v>27.500000000000004</v>
      </c>
    </row>
    <row r="30" spans="1:8" ht="18" customHeight="1">
      <c r="A30" s="122"/>
      <c r="B30" s="45" t="s">
        <v>124</v>
      </c>
      <c r="C30" s="119"/>
      <c r="D30" s="36"/>
      <c r="E30" s="36"/>
      <c r="F30" s="36"/>
      <c r="G30" s="14">
        <f t="shared" si="5"/>
        <v>0</v>
      </c>
      <c r="H30" s="76" t="e">
        <f t="shared" si="6"/>
        <v>#DIV/0!</v>
      </c>
    </row>
    <row r="31" spans="1:8" ht="37.5" customHeight="1">
      <c r="A31" s="122"/>
      <c r="B31" s="45" t="s">
        <v>224</v>
      </c>
      <c r="C31" s="119"/>
      <c r="D31" s="36">
        <v>23.6</v>
      </c>
      <c r="E31" s="36">
        <v>22</v>
      </c>
      <c r="F31" s="36">
        <v>22</v>
      </c>
      <c r="G31" s="14">
        <f t="shared" si="5"/>
        <v>0</v>
      </c>
      <c r="H31" s="14">
        <f t="shared" si="6"/>
        <v>100</v>
      </c>
    </row>
    <row r="32" spans="1:8" ht="18" customHeight="1">
      <c r="A32" s="122"/>
      <c r="B32" s="45" t="s">
        <v>126</v>
      </c>
      <c r="C32" s="119"/>
      <c r="D32" s="36">
        <v>3.8</v>
      </c>
      <c r="E32" s="36">
        <v>4</v>
      </c>
      <c r="F32" s="26">
        <v>20.3</v>
      </c>
      <c r="G32" s="14">
        <f t="shared" si="5"/>
        <v>16.3</v>
      </c>
      <c r="H32" s="14">
        <f t="shared" si="6"/>
        <v>507.5</v>
      </c>
    </row>
    <row r="33" spans="1:8" ht="18" customHeight="1">
      <c r="A33" s="122"/>
      <c r="B33" s="45" t="s">
        <v>127</v>
      </c>
      <c r="C33" s="114"/>
      <c r="D33" s="36">
        <v>2.7</v>
      </c>
      <c r="E33" s="36">
        <v>3</v>
      </c>
      <c r="F33" s="26"/>
      <c r="G33" s="14">
        <f t="shared" si="5"/>
        <v>-3</v>
      </c>
      <c r="H33" s="14">
        <f t="shared" si="6"/>
        <v>0</v>
      </c>
    </row>
    <row r="34" spans="1:8" ht="18" customHeight="1">
      <c r="A34" s="122"/>
      <c r="B34" s="45" t="s">
        <v>128</v>
      </c>
      <c r="C34" s="114"/>
      <c r="D34" s="36">
        <v>9.1999999999999993</v>
      </c>
      <c r="E34" s="36">
        <v>15</v>
      </c>
      <c r="F34" s="26">
        <v>18.7</v>
      </c>
      <c r="G34" s="14">
        <f t="shared" si="5"/>
        <v>3.6999999999999993</v>
      </c>
      <c r="H34" s="14">
        <f t="shared" si="6"/>
        <v>124.66666666666666</v>
      </c>
    </row>
    <row r="35" spans="1:8" ht="18" customHeight="1">
      <c r="A35" s="122"/>
      <c r="B35" s="102" t="s">
        <v>199</v>
      </c>
      <c r="C35" s="114"/>
      <c r="D35" s="36">
        <v>29</v>
      </c>
      <c r="E35" s="36">
        <v>17</v>
      </c>
      <c r="F35" s="36">
        <v>1.2</v>
      </c>
      <c r="G35" s="14">
        <f t="shared" si="5"/>
        <v>-15.8</v>
      </c>
      <c r="H35" s="14">
        <f t="shared" si="6"/>
        <v>7.0588235294117645</v>
      </c>
    </row>
    <row r="36" spans="1:8" ht="18" customHeight="1">
      <c r="A36" s="122"/>
      <c r="B36" s="45" t="s">
        <v>129</v>
      </c>
      <c r="C36" s="114"/>
      <c r="D36" s="36">
        <v>4.7</v>
      </c>
      <c r="E36" s="36">
        <v>22</v>
      </c>
      <c r="F36" s="36">
        <v>31</v>
      </c>
      <c r="G36" s="14">
        <f t="shared" si="5"/>
        <v>9</v>
      </c>
      <c r="H36" s="14">
        <f t="shared" si="6"/>
        <v>140.90909090909091</v>
      </c>
    </row>
    <row r="37" spans="1:8" ht="18" customHeight="1">
      <c r="A37" s="122"/>
      <c r="B37" s="45" t="s">
        <v>130</v>
      </c>
      <c r="C37" s="114"/>
      <c r="D37" s="36">
        <v>5.8</v>
      </c>
      <c r="E37" s="36">
        <v>20</v>
      </c>
      <c r="F37" s="36">
        <v>4.4000000000000004</v>
      </c>
      <c r="G37" s="14">
        <f t="shared" si="5"/>
        <v>-15.6</v>
      </c>
      <c r="H37" s="76">
        <f t="shared" si="6"/>
        <v>22.000000000000004</v>
      </c>
    </row>
    <row r="38" spans="1:8" ht="56.25" customHeight="1">
      <c r="A38" s="122"/>
      <c r="B38" s="45" t="s">
        <v>251</v>
      </c>
      <c r="C38" s="114"/>
      <c r="D38" s="36">
        <v>2</v>
      </c>
      <c r="E38" s="36">
        <v>3.2</v>
      </c>
      <c r="F38" s="36">
        <v>3.1</v>
      </c>
      <c r="G38" s="14">
        <f t="shared" si="5"/>
        <v>-0.10000000000000009</v>
      </c>
      <c r="H38" s="14">
        <f t="shared" si="6"/>
        <v>96.875</v>
      </c>
    </row>
    <row r="39" spans="1:8" ht="18" customHeight="1">
      <c r="A39" s="122"/>
      <c r="B39" s="46" t="s">
        <v>196</v>
      </c>
      <c r="C39" s="165"/>
      <c r="D39" s="36">
        <v>4.9000000000000004</v>
      </c>
      <c r="E39" s="36">
        <v>8</v>
      </c>
      <c r="F39" s="36"/>
      <c r="G39" s="14">
        <f t="shared" si="5"/>
        <v>-8</v>
      </c>
      <c r="H39" s="14">
        <f t="shared" si="6"/>
        <v>0</v>
      </c>
    </row>
    <row r="40" spans="1:8" ht="83.25" customHeight="1">
      <c r="A40" s="122"/>
      <c r="B40" s="160" t="s">
        <v>334</v>
      </c>
      <c r="C40" s="114"/>
      <c r="D40" s="36">
        <v>117.5</v>
      </c>
      <c r="E40" s="36">
        <v>125</v>
      </c>
      <c r="F40" s="36">
        <v>67.3</v>
      </c>
      <c r="G40" s="14">
        <f t="shared" si="5"/>
        <v>-57.7</v>
      </c>
      <c r="H40" s="14">
        <f t="shared" si="6"/>
        <v>53.839999999999996</v>
      </c>
    </row>
    <row r="41" spans="1:8" ht="18" customHeight="1">
      <c r="A41" s="122"/>
      <c r="B41" s="47" t="s">
        <v>137</v>
      </c>
      <c r="C41" s="114"/>
      <c r="D41" s="36"/>
      <c r="E41" s="36">
        <v>0.2</v>
      </c>
      <c r="F41" s="36"/>
      <c r="G41" s="14">
        <f t="shared" si="5"/>
        <v>-0.2</v>
      </c>
      <c r="H41" s="14"/>
    </row>
    <row r="42" spans="1:8" ht="18" customHeight="1">
      <c r="A42" s="122"/>
      <c r="B42" s="47" t="s">
        <v>225</v>
      </c>
      <c r="C42" s="114"/>
      <c r="D42" s="36">
        <v>14.6</v>
      </c>
      <c r="E42" s="36">
        <v>7.5</v>
      </c>
      <c r="F42" s="36">
        <v>1.2</v>
      </c>
      <c r="G42" s="14">
        <f t="shared" si="5"/>
        <v>-6.3</v>
      </c>
      <c r="H42" s="14">
        <f t="shared" si="6"/>
        <v>16</v>
      </c>
    </row>
    <row r="43" spans="1:8" ht="18" customHeight="1">
      <c r="A43" s="122"/>
      <c r="B43" s="47" t="s">
        <v>158</v>
      </c>
      <c r="C43" s="114"/>
      <c r="D43" s="36">
        <v>0.2</v>
      </c>
      <c r="E43" s="36"/>
      <c r="F43" s="36">
        <v>0.3</v>
      </c>
      <c r="G43" s="14">
        <f t="shared" si="5"/>
        <v>0.3</v>
      </c>
      <c r="H43" s="76" t="e">
        <f t="shared" si="6"/>
        <v>#DIV/0!</v>
      </c>
    </row>
    <row r="44" spans="1:8" ht="18" customHeight="1">
      <c r="A44" s="122"/>
      <c r="B44" s="45" t="s">
        <v>257</v>
      </c>
      <c r="C44" s="114"/>
      <c r="D44" s="36">
        <v>11</v>
      </c>
      <c r="E44" s="36">
        <v>25.5</v>
      </c>
      <c r="F44" s="36">
        <v>26.4</v>
      </c>
      <c r="G44" s="14">
        <f t="shared" si="5"/>
        <v>0.89999999999999858</v>
      </c>
      <c r="H44" s="14">
        <f t="shared" si="6"/>
        <v>103.52941176470587</v>
      </c>
    </row>
    <row r="45" spans="1:8" ht="54.75" customHeight="1">
      <c r="A45" s="122"/>
      <c r="B45" s="45" t="s">
        <v>335</v>
      </c>
      <c r="C45" s="114"/>
      <c r="D45" s="36"/>
      <c r="E45" s="36"/>
      <c r="F45" s="36">
        <v>27.5</v>
      </c>
      <c r="G45" s="14">
        <f t="shared" si="5"/>
        <v>27.5</v>
      </c>
      <c r="H45" s="14"/>
    </row>
    <row r="46" spans="1:8" ht="18" customHeight="1">
      <c r="A46" s="122"/>
      <c r="B46" s="45" t="s">
        <v>138</v>
      </c>
      <c r="C46" s="114"/>
      <c r="D46" s="36">
        <v>585.20000000000005</v>
      </c>
      <c r="E46" s="36">
        <v>25.1</v>
      </c>
      <c r="F46" s="36">
        <v>49.5</v>
      </c>
      <c r="G46" s="14">
        <f t="shared" si="5"/>
        <v>24.4</v>
      </c>
      <c r="H46" s="14">
        <f t="shared" si="6"/>
        <v>197.21115537848604</v>
      </c>
    </row>
    <row r="47" spans="1:8" ht="18" customHeight="1">
      <c r="A47" s="122"/>
      <c r="B47" s="45" t="s">
        <v>178</v>
      </c>
      <c r="C47" s="114"/>
      <c r="D47" s="36">
        <v>195.9</v>
      </c>
      <c r="E47" s="36">
        <v>305</v>
      </c>
      <c r="F47" s="36">
        <v>228</v>
      </c>
      <c r="G47" s="14">
        <f t="shared" si="5"/>
        <v>-77</v>
      </c>
      <c r="H47" s="14">
        <f t="shared" si="6"/>
        <v>74.754098360655746</v>
      </c>
    </row>
    <row r="48" spans="1:8" ht="53.25" customHeight="1">
      <c r="A48" s="122"/>
      <c r="B48" s="20" t="s">
        <v>276</v>
      </c>
      <c r="C48" s="114"/>
      <c r="D48" s="36"/>
      <c r="E48" s="36">
        <v>20</v>
      </c>
      <c r="F48" s="36"/>
      <c r="G48" s="14"/>
      <c r="H48" s="14"/>
    </row>
    <row r="49" spans="1:8" ht="18" customHeight="1">
      <c r="A49" s="122"/>
      <c r="B49" s="20" t="s">
        <v>275</v>
      </c>
      <c r="C49" s="114"/>
      <c r="D49" s="36"/>
      <c r="E49" s="36">
        <v>22.5</v>
      </c>
      <c r="F49" s="36">
        <v>8.8000000000000007</v>
      </c>
      <c r="G49" s="14"/>
      <c r="H49" s="14"/>
    </row>
    <row r="50" spans="1:8" ht="37.5" customHeight="1">
      <c r="A50" s="122"/>
      <c r="B50" s="20" t="s">
        <v>337</v>
      </c>
      <c r="C50" s="114"/>
      <c r="D50" s="36"/>
      <c r="E50" s="36"/>
      <c r="F50" s="36">
        <v>80.2</v>
      </c>
      <c r="G50" s="14"/>
      <c r="H50" s="14"/>
    </row>
    <row r="51" spans="1:8" ht="18.75" customHeight="1">
      <c r="A51" s="120" t="s">
        <v>74</v>
      </c>
      <c r="B51" s="93" t="s">
        <v>77</v>
      </c>
      <c r="C51" s="164">
        <v>1020</v>
      </c>
      <c r="D51" s="222">
        <f>SUM(D52,D59,D60,D61)</f>
        <v>3989</v>
      </c>
      <c r="E51" s="222">
        <f>SUM(E52,E59,E60,E61)</f>
        <v>4505.8</v>
      </c>
      <c r="F51" s="222">
        <f>SUM(F52,F59,F60,F61)</f>
        <v>4912.7000000000007</v>
      </c>
      <c r="G51" s="90">
        <f t="shared" si="5"/>
        <v>406.90000000000055</v>
      </c>
      <c r="H51" s="90">
        <f t="shared" si="6"/>
        <v>109.03058280438546</v>
      </c>
    </row>
    <row r="52" spans="1:8" s="6" customFormat="1" ht="19.5" customHeight="1">
      <c r="A52" s="121" t="s">
        <v>184</v>
      </c>
      <c r="B52" s="44" t="s">
        <v>91</v>
      </c>
      <c r="C52" s="166">
        <v>1021</v>
      </c>
      <c r="D52" s="223">
        <f>SUM(D53:D58)</f>
        <v>30.6</v>
      </c>
      <c r="E52" s="223">
        <f>SUM(E53:E58)</f>
        <v>34.5</v>
      </c>
      <c r="F52" s="223">
        <f>SUM(F53:F58)</f>
        <v>17.399999999999999</v>
      </c>
      <c r="G52" s="16">
        <f t="shared" si="5"/>
        <v>-17.100000000000001</v>
      </c>
      <c r="H52" s="16">
        <f t="shared" si="6"/>
        <v>50.434782608695649</v>
      </c>
    </row>
    <row r="53" spans="1:8" ht="37.5" customHeight="1">
      <c r="A53" s="122"/>
      <c r="B53" s="20" t="s">
        <v>270</v>
      </c>
      <c r="C53" s="114"/>
      <c r="D53" s="36"/>
      <c r="E53" s="224">
        <v>25</v>
      </c>
      <c r="F53" s="224"/>
      <c r="G53" s="14">
        <f t="shared" si="5"/>
        <v>-25</v>
      </c>
      <c r="H53" s="14"/>
    </row>
    <row r="54" spans="1:8" ht="18" customHeight="1">
      <c r="A54" s="123"/>
      <c r="B54" s="45" t="s">
        <v>116</v>
      </c>
      <c r="C54" s="119"/>
      <c r="D54" s="36"/>
      <c r="E54" s="36"/>
      <c r="F54" s="36"/>
      <c r="G54" s="14">
        <f t="shared" si="5"/>
        <v>0</v>
      </c>
      <c r="H54" s="14"/>
    </row>
    <row r="55" spans="1:8" ht="18" customHeight="1">
      <c r="A55" s="123"/>
      <c r="B55" s="45" t="s">
        <v>117</v>
      </c>
      <c r="C55" s="114"/>
      <c r="D55" s="36">
        <v>5.5</v>
      </c>
      <c r="E55" s="36"/>
      <c r="F55" s="36"/>
      <c r="G55" s="14">
        <f t="shared" si="5"/>
        <v>0</v>
      </c>
      <c r="H55" s="76" t="e">
        <f>G55/F55*100</f>
        <v>#DIV/0!</v>
      </c>
    </row>
    <row r="56" spans="1:8" ht="18" customHeight="1">
      <c r="A56" s="123"/>
      <c r="B56" s="45" t="s">
        <v>151</v>
      </c>
      <c r="C56" s="114"/>
      <c r="D56" s="36"/>
      <c r="E56" s="36">
        <v>3.5</v>
      </c>
      <c r="F56" s="36">
        <v>11.5</v>
      </c>
      <c r="G56" s="14">
        <f t="shared" si="5"/>
        <v>8</v>
      </c>
      <c r="H56" s="14"/>
    </row>
    <row r="57" spans="1:8" ht="18" customHeight="1">
      <c r="A57" s="123"/>
      <c r="B57" s="45" t="s">
        <v>118</v>
      </c>
      <c r="C57" s="114"/>
      <c r="D57" s="36">
        <v>5.0999999999999996</v>
      </c>
      <c r="E57" s="36">
        <v>6</v>
      </c>
      <c r="F57" s="36">
        <v>5.9</v>
      </c>
      <c r="G57" s="14">
        <f t="shared" si="5"/>
        <v>-9.9999999999999645E-2</v>
      </c>
      <c r="H57" s="14">
        <f t="shared" ref="H57:H58" si="7">G57/F57*100</f>
        <v>-1.6949152542372818</v>
      </c>
    </row>
    <row r="58" spans="1:8" ht="39" customHeight="1">
      <c r="A58" s="123"/>
      <c r="B58" s="45" t="s">
        <v>227</v>
      </c>
      <c r="C58" s="114"/>
      <c r="D58" s="36">
        <v>20</v>
      </c>
      <c r="E58" s="36"/>
      <c r="F58" s="36"/>
      <c r="G58" s="14">
        <f t="shared" si="5"/>
        <v>0</v>
      </c>
      <c r="H58" s="76" t="e">
        <f t="shared" si="7"/>
        <v>#DIV/0!</v>
      </c>
    </row>
    <row r="59" spans="1:8" s="6" customFormat="1" ht="18" customHeight="1">
      <c r="A59" s="121" t="s">
        <v>185</v>
      </c>
      <c r="B59" s="44" t="s">
        <v>1</v>
      </c>
      <c r="C59" s="166">
        <v>1022</v>
      </c>
      <c r="D59" s="223">
        <v>3199.8</v>
      </c>
      <c r="E59" s="223">
        <v>3490</v>
      </c>
      <c r="F59" s="223">
        <v>3916.1</v>
      </c>
      <c r="G59" s="16">
        <f t="shared" si="5"/>
        <v>426.09999999999991</v>
      </c>
      <c r="H59" s="16">
        <f t="shared" si="6"/>
        <v>112.20916905444125</v>
      </c>
    </row>
    <row r="60" spans="1:8" s="6" customFormat="1" ht="21.75" customHeight="1">
      <c r="A60" s="121" t="s">
        <v>186</v>
      </c>
      <c r="B60" s="44" t="s">
        <v>2</v>
      </c>
      <c r="C60" s="166">
        <v>1023</v>
      </c>
      <c r="D60" s="223">
        <v>660.6</v>
      </c>
      <c r="E60" s="223">
        <v>764.3</v>
      </c>
      <c r="F60" s="223">
        <v>752.1</v>
      </c>
      <c r="G60" s="16">
        <f t="shared" si="5"/>
        <v>-12.199999999999932</v>
      </c>
      <c r="H60" s="16">
        <f t="shared" si="6"/>
        <v>98.403768153866295</v>
      </c>
    </row>
    <row r="61" spans="1:8" s="6" customFormat="1" ht="17.25" customHeight="1">
      <c r="A61" s="121" t="s">
        <v>306</v>
      </c>
      <c r="B61" s="93" t="s">
        <v>163</v>
      </c>
      <c r="C61" s="164">
        <v>1025</v>
      </c>
      <c r="D61" s="222">
        <f>SUM(D62:D68)</f>
        <v>98</v>
      </c>
      <c r="E61" s="225">
        <f>SUM(E62:E68)</f>
        <v>217</v>
      </c>
      <c r="F61" s="225">
        <f>SUM(F62:F69)</f>
        <v>227.10000000000002</v>
      </c>
      <c r="G61" s="90">
        <f t="shared" si="5"/>
        <v>10.100000000000023</v>
      </c>
      <c r="H61" s="90">
        <f t="shared" si="6"/>
        <v>104.65437788018434</v>
      </c>
    </row>
    <row r="62" spans="1:8" ht="17.25" customHeight="1">
      <c r="A62" s="123"/>
      <c r="B62" s="45" t="s">
        <v>314</v>
      </c>
      <c r="C62" s="119"/>
      <c r="D62" s="36">
        <v>1.8</v>
      </c>
      <c r="E62" s="224"/>
      <c r="F62" s="36">
        <v>1.2</v>
      </c>
      <c r="G62" s="14">
        <f t="shared" si="5"/>
        <v>1.2</v>
      </c>
      <c r="H62" s="14"/>
    </row>
    <row r="63" spans="1:8" ht="18" customHeight="1">
      <c r="A63" s="123"/>
      <c r="B63" s="39" t="s">
        <v>121</v>
      </c>
      <c r="C63" s="114"/>
      <c r="D63" s="36">
        <v>35</v>
      </c>
      <c r="E63" s="36">
        <v>34</v>
      </c>
      <c r="F63" s="26">
        <v>43.6</v>
      </c>
      <c r="G63" s="14">
        <f t="shared" si="5"/>
        <v>9.6000000000000014</v>
      </c>
      <c r="H63" s="14">
        <f t="shared" si="6"/>
        <v>128.23529411764707</v>
      </c>
    </row>
    <row r="64" spans="1:8" ht="18" customHeight="1">
      <c r="A64" s="123"/>
      <c r="B64" s="45" t="s">
        <v>195</v>
      </c>
      <c r="C64" s="114"/>
      <c r="D64" s="36">
        <v>46</v>
      </c>
      <c r="E64" s="36">
        <v>108</v>
      </c>
      <c r="F64" s="26">
        <v>99.4</v>
      </c>
      <c r="G64" s="14">
        <f t="shared" si="5"/>
        <v>-8.5999999999999943</v>
      </c>
      <c r="H64" s="14">
        <f t="shared" si="6"/>
        <v>92.037037037037038</v>
      </c>
    </row>
    <row r="65" spans="1:8" ht="18" customHeight="1">
      <c r="A65" s="123"/>
      <c r="B65" s="46" t="s">
        <v>135</v>
      </c>
      <c r="C65" s="114"/>
      <c r="D65" s="36"/>
      <c r="E65" s="36"/>
      <c r="F65" s="36"/>
      <c r="G65" s="14">
        <f t="shared" si="5"/>
        <v>0</v>
      </c>
      <c r="H65" s="14"/>
    </row>
    <row r="66" spans="1:8" ht="18" customHeight="1">
      <c r="A66" s="123"/>
      <c r="B66" s="47" t="s">
        <v>160</v>
      </c>
      <c r="C66" s="114"/>
      <c r="D66" s="36">
        <v>15.2</v>
      </c>
      <c r="E66" s="36">
        <v>35</v>
      </c>
      <c r="F66" s="26">
        <v>28.4</v>
      </c>
      <c r="G66" s="14">
        <f t="shared" ref="G66:G70" si="8">F66-E66</f>
        <v>-6.6000000000000014</v>
      </c>
      <c r="H66" s="14">
        <f t="shared" si="6"/>
        <v>81.142857142857139</v>
      </c>
    </row>
    <row r="67" spans="1:8" ht="18" customHeight="1">
      <c r="A67" s="123"/>
      <c r="B67" s="47" t="s">
        <v>225</v>
      </c>
      <c r="C67" s="114"/>
      <c r="D67" s="36"/>
      <c r="E67" s="223"/>
      <c r="F67" s="26"/>
      <c r="G67" s="14">
        <f t="shared" si="8"/>
        <v>0</v>
      </c>
      <c r="H67" s="14"/>
    </row>
    <row r="68" spans="1:8" ht="18" customHeight="1">
      <c r="A68" s="123"/>
      <c r="B68" s="46" t="s">
        <v>161</v>
      </c>
      <c r="C68" s="114"/>
      <c r="D68" s="36"/>
      <c r="E68" s="223">
        <v>40</v>
      </c>
      <c r="F68" s="36">
        <v>28.2</v>
      </c>
      <c r="G68" s="14">
        <f t="shared" si="8"/>
        <v>-11.8</v>
      </c>
      <c r="H68" s="14"/>
    </row>
    <row r="69" spans="1:8" ht="18" customHeight="1">
      <c r="A69" s="123"/>
      <c r="B69" s="20" t="s">
        <v>309</v>
      </c>
      <c r="C69" s="114"/>
      <c r="D69" s="222"/>
      <c r="E69" s="222"/>
      <c r="F69" s="36">
        <v>26.3</v>
      </c>
      <c r="G69" s="14"/>
      <c r="H69" s="14"/>
    </row>
    <row r="70" spans="1:8" ht="21" customHeight="1">
      <c r="A70" s="120" t="s">
        <v>187</v>
      </c>
      <c r="B70" s="94" t="s">
        <v>10</v>
      </c>
      <c r="C70" s="164">
        <v>1030</v>
      </c>
      <c r="D70" s="222">
        <f>SUM(D71,D72,D73)</f>
        <v>2000.1999999999998</v>
      </c>
      <c r="E70" s="222">
        <f>SUM(E71,E72,E73)</f>
        <v>11738.4</v>
      </c>
      <c r="F70" s="222">
        <f>SUM(F71,F72,F73)</f>
        <v>2678</v>
      </c>
      <c r="G70" s="90">
        <f t="shared" si="8"/>
        <v>-9060.4</v>
      </c>
      <c r="H70" s="90">
        <f t="shared" ref="H70" si="9">(F70/E70)*100</f>
        <v>22.814012131125196</v>
      </c>
    </row>
    <row r="71" spans="1:8" s="6" customFormat="1" ht="18" customHeight="1">
      <c r="A71" s="121" t="s">
        <v>307</v>
      </c>
      <c r="B71" s="109" t="s">
        <v>1</v>
      </c>
      <c r="C71" s="166">
        <v>1032</v>
      </c>
      <c r="D71" s="223">
        <v>1499.5</v>
      </c>
      <c r="E71" s="223">
        <v>9425</v>
      </c>
      <c r="F71" s="223">
        <v>2025.4</v>
      </c>
      <c r="G71" s="16">
        <f t="shared" ref="G71" si="10">F71-E71</f>
        <v>-7399.6</v>
      </c>
      <c r="H71" s="16">
        <f t="shared" ref="H71" si="11">(F71/E71)*100</f>
        <v>21.489655172413794</v>
      </c>
    </row>
    <row r="72" spans="1:8" s="6" customFormat="1" ht="18" customHeight="1">
      <c r="A72" s="121" t="s">
        <v>238</v>
      </c>
      <c r="B72" s="109" t="s">
        <v>240</v>
      </c>
      <c r="C72" s="177">
        <v>1033</v>
      </c>
      <c r="D72" s="223">
        <v>302.10000000000002</v>
      </c>
      <c r="E72" s="223">
        <v>2068.4</v>
      </c>
      <c r="F72" s="223">
        <v>392.2</v>
      </c>
      <c r="G72" s="16">
        <f t="shared" ref="G72:G76" si="12">F72-E72</f>
        <v>-1676.2</v>
      </c>
      <c r="H72" s="16">
        <f t="shared" ref="H72:H75" si="13">(F72/E72)*100</f>
        <v>18.961516147747048</v>
      </c>
    </row>
    <row r="73" spans="1:8" s="6" customFormat="1" ht="18" customHeight="1">
      <c r="A73" s="121" t="s">
        <v>239</v>
      </c>
      <c r="B73" s="44" t="s">
        <v>233</v>
      </c>
      <c r="C73" s="166">
        <v>1035</v>
      </c>
      <c r="D73" s="226">
        <f>D75+D76</f>
        <v>198.6</v>
      </c>
      <c r="E73" s="226">
        <f>E75+E76</f>
        <v>245</v>
      </c>
      <c r="F73" s="226">
        <f>F74+F75+F76</f>
        <v>260.39999999999998</v>
      </c>
      <c r="G73" s="16">
        <f t="shared" si="12"/>
        <v>15.399999999999977</v>
      </c>
      <c r="H73" s="16">
        <f t="shared" si="13"/>
        <v>106.28571428571428</v>
      </c>
    </row>
    <row r="74" spans="1:8" s="6" customFormat="1" ht="18" customHeight="1">
      <c r="A74" s="122"/>
      <c r="B74" s="45" t="s">
        <v>336</v>
      </c>
      <c r="C74" s="114"/>
      <c r="D74" s="227"/>
      <c r="E74" s="227"/>
      <c r="F74" s="227">
        <v>8.5</v>
      </c>
      <c r="G74" s="14">
        <f t="shared" ref="G74" si="14">F74-E74</f>
        <v>8.5</v>
      </c>
      <c r="H74" s="157" t="e">
        <f t="shared" ref="H74" si="15">(F74/E74)*100</f>
        <v>#DIV/0!</v>
      </c>
    </row>
    <row r="75" spans="1:8" ht="18" customHeight="1">
      <c r="A75" s="123"/>
      <c r="B75" s="45" t="s">
        <v>139</v>
      </c>
      <c r="C75" s="114"/>
      <c r="D75" s="36">
        <v>92.1</v>
      </c>
      <c r="E75" s="36">
        <v>125</v>
      </c>
      <c r="F75" s="36">
        <v>109.2</v>
      </c>
      <c r="G75" s="14">
        <f t="shared" si="12"/>
        <v>-15.799999999999997</v>
      </c>
      <c r="H75" s="14">
        <f t="shared" si="13"/>
        <v>87.36</v>
      </c>
    </row>
    <row r="76" spans="1:8" ht="18" customHeight="1">
      <c r="A76" s="123"/>
      <c r="B76" s="15" t="s">
        <v>144</v>
      </c>
      <c r="C76" s="114"/>
      <c r="D76" s="36">
        <v>106.5</v>
      </c>
      <c r="E76" s="36">
        <v>120</v>
      </c>
      <c r="F76" s="36">
        <v>142.69999999999999</v>
      </c>
      <c r="G76" s="14">
        <f t="shared" si="12"/>
        <v>22.699999999999989</v>
      </c>
      <c r="H76" s="14"/>
    </row>
    <row r="77" spans="1:8" ht="52.5" customHeight="1">
      <c r="A77" s="124" t="s">
        <v>78</v>
      </c>
      <c r="B77" s="35" t="s">
        <v>219</v>
      </c>
      <c r="C77" s="114"/>
      <c r="D77" s="38">
        <f>SUM(D79)</f>
        <v>52.300000000000004</v>
      </c>
      <c r="E77" s="38">
        <f t="shared" ref="E77:F77" si="16">SUM(E79)</f>
        <v>82</v>
      </c>
      <c r="F77" s="38">
        <f t="shared" si="16"/>
        <v>116.7</v>
      </c>
      <c r="G77" s="11">
        <f t="shared" ref="G77:G85" si="17">F77-E77</f>
        <v>34.700000000000003</v>
      </c>
      <c r="H77" s="11">
        <f t="shared" ref="H77:H84" si="18">(F77/E77)*100</f>
        <v>142.3170731707317</v>
      </c>
    </row>
    <row r="78" spans="1:8" ht="18.75" customHeight="1">
      <c r="A78" s="125"/>
      <c r="B78" s="48" t="s">
        <v>72</v>
      </c>
      <c r="C78" s="114"/>
      <c r="D78" s="36"/>
      <c r="E78" s="36"/>
      <c r="F78" s="36"/>
      <c r="G78" s="14">
        <f t="shared" si="17"/>
        <v>0</v>
      </c>
      <c r="H78" s="14"/>
    </row>
    <row r="79" spans="1:8" ht="36.75" customHeight="1">
      <c r="A79" s="126" t="s">
        <v>176</v>
      </c>
      <c r="B79" s="95" t="s">
        <v>76</v>
      </c>
      <c r="C79" s="164">
        <v>1010</v>
      </c>
      <c r="D79" s="222">
        <f>SUM(D80,D87,D88)</f>
        <v>52.300000000000004</v>
      </c>
      <c r="E79" s="222">
        <f>SUM(E80,E87,E88)</f>
        <v>82</v>
      </c>
      <c r="F79" s="222">
        <f>SUM(F80,F89,F87,F88)</f>
        <v>116.7</v>
      </c>
      <c r="G79" s="90">
        <f t="shared" si="17"/>
        <v>34.700000000000003</v>
      </c>
      <c r="H79" s="90">
        <f t="shared" si="18"/>
        <v>142.3170731707317</v>
      </c>
    </row>
    <row r="80" spans="1:8" s="6" customFormat="1" ht="22.5" customHeight="1">
      <c r="A80" s="127" t="s">
        <v>246</v>
      </c>
      <c r="B80" s="44" t="s">
        <v>241</v>
      </c>
      <c r="C80" s="166">
        <v>1011</v>
      </c>
      <c r="D80" s="223">
        <f>D81+D82+D83+D84</f>
        <v>5.0999999999999996</v>
      </c>
      <c r="E80" s="223">
        <f>E81+E82+E83+E84</f>
        <v>7.6000000000000005</v>
      </c>
      <c r="F80" s="223">
        <f>F81+F82+F83+F84</f>
        <v>5.8</v>
      </c>
      <c r="G80" s="16">
        <f t="shared" si="17"/>
        <v>-1.8000000000000007</v>
      </c>
      <c r="H80" s="16">
        <f t="shared" si="18"/>
        <v>76.315789473684205</v>
      </c>
    </row>
    <row r="81" spans="1:8" ht="18" customHeight="1">
      <c r="A81" s="125"/>
      <c r="B81" s="20" t="s">
        <v>131</v>
      </c>
      <c r="C81" s="114"/>
      <c r="D81" s="36">
        <v>3</v>
      </c>
      <c r="E81" s="36">
        <v>4</v>
      </c>
      <c r="F81" s="36">
        <v>3.2</v>
      </c>
      <c r="G81" s="14">
        <f t="shared" si="17"/>
        <v>-0.79999999999999982</v>
      </c>
      <c r="H81" s="14">
        <f t="shared" si="18"/>
        <v>80</v>
      </c>
    </row>
    <row r="82" spans="1:8" ht="18" customHeight="1">
      <c r="A82" s="125"/>
      <c r="B82" s="20" t="s">
        <v>132</v>
      </c>
      <c r="C82" s="114"/>
      <c r="D82" s="36">
        <v>0.2</v>
      </c>
      <c r="E82" s="36">
        <v>0.4</v>
      </c>
      <c r="F82" s="36">
        <v>0.3</v>
      </c>
      <c r="G82" s="14">
        <f t="shared" si="17"/>
        <v>-0.10000000000000003</v>
      </c>
      <c r="H82" s="14">
        <f t="shared" si="18"/>
        <v>74.999999999999986</v>
      </c>
    </row>
    <row r="83" spans="1:8" ht="18" customHeight="1">
      <c r="A83" s="125"/>
      <c r="B83" s="20" t="s">
        <v>133</v>
      </c>
      <c r="C83" s="114"/>
      <c r="D83" s="36">
        <v>1.8</v>
      </c>
      <c r="E83" s="36">
        <v>3</v>
      </c>
      <c r="F83" s="36">
        <v>2.2000000000000002</v>
      </c>
      <c r="G83" s="14">
        <f t="shared" si="17"/>
        <v>-0.79999999999999982</v>
      </c>
      <c r="H83" s="14">
        <f t="shared" si="18"/>
        <v>73.333333333333343</v>
      </c>
    </row>
    <row r="84" spans="1:8" ht="18" customHeight="1">
      <c r="A84" s="125"/>
      <c r="B84" s="20" t="s">
        <v>134</v>
      </c>
      <c r="C84" s="114"/>
      <c r="D84" s="36">
        <v>0.1</v>
      </c>
      <c r="E84" s="36">
        <v>0.2</v>
      </c>
      <c r="F84" s="36">
        <v>0.1</v>
      </c>
      <c r="G84" s="14">
        <f t="shared" si="17"/>
        <v>-0.1</v>
      </c>
      <c r="H84" s="14">
        <f t="shared" si="18"/>
        <v>50</v>
      </c>
    </row>
    <row r="85" spans="1:8" ht="36.75" customHeight="1">
      <c r="A85" s="125"/>
      <c r="B85" s="20" t="s">
        <v>198</v>
      </c>
      <c r="C85" s="114"/>
      <c r="D85" s="36"/>
      <c r="E85" s="36"/>
      <c r="F85" s="36"/>
      <c r="G85" s="14">
        <f t="shared" si="17"/>
        <v>0</v>
      </c>
      <c r="H85" s="14"/>
    </row>
    <row r="86" spans="1:8" ht="21.75" customHeight="1">
      <c r="A86" s="125"/>
      <c r="B86" s="20" t="s">
        <v>115</v>
      </c>
      <c r="C86" s="114"/>
      <c r="D86" s="36"/>
      <c r="E86" s="36"/>
      <c r="F86" s="36"/>
      <c r="G86" s="14"/>
      <c r="H86" s="14"/>
    </row>
    <row r="87" spans="1:8" ht="21.75" customHeight="1">
      <c r="A87" s="127" t="s">
        <v>188</v>
      </c>
      <c r="B87" s="109" t="s">
        <v>1</v>
      </c>
      <c r="C87" s="166">
        <v>1012</v>
      </c>
      <c r="D87" s="223">
        <v>38.700000000000003</v>
      </c>
      <c r="E87" s="223">
        <v>61</v>
      </c>
      <c r="F87" s="223">
        <v>90.9</v>
      </c>
      <c r="G87" s="16">
        <f>F87-E87</f>
        <v>29.900000000000006</v>
      </c>
      <c r="H87" s="16">
        <f>(F87/E87)*100</f>
        <v>149.01639344262296</v>
      </c>
    </row>
    <row r="88" spans="1:8" ht="21.75" customHeight="1">
      <c r="A88" s="127" t="s">
        <v>189</v>
      </c>
      <c r="B88" s="109" t="s">
        <v>2</v>
      </c>
      <c r="C88" s="166">
        <v>1013</v>
      </c>
      <c r="D88" s="223">
        <v>8.5</v>
      </c>
      <c r="E88" s="223">
        <v>13.4</v>
      </c>
      <c r="F88" s="223">
        <v>20</v>
      </c>
      <c r="G88" s="16">
        <f>F88-E88</f>
        <v>6.6</v>
      </c>
      <c r="H88" s="16">
        <f>(F88/E88)*100</f>
        <v>149.25373134328356</v>
      </c>
    </row>
    <row r="89" spans="1:8" ht="21.75" customHeight="1">
      <c r="A89" s="127" t="s">
        <v>310</v>
      </c>
      <c r="B89" s="44" t="s">
        <v>81</v>
      </c>
      <c r="C89" s="166">
        <v>1015</v>
      </c>
      <c r="D89" s="223"/>
      <c r="E89" s="223"/>
      <c r="F89" s="223"/>
      <c r="G89" s="16"/>
      <c r="H89" s="16"/>
    </row>
    <row r="90" spans="1:8" ht="21.75" customHeight="1">
      <c r="A90" s="125"/>
      <c r="B90" s="47" t="s">
        <v>177</v>
      </c>
      <c r="C90" s="114"/>
      <c r="D90" s="36"/>
      <c r="E90" s="36"/>
      <c r="F90" s="36"/>
      <c r="G90" s="14"/>
      <c r="H90" s="14"/>
    </row>
    <row r="91" spans="1:8" ht="60.75" customHeight="1">
      <c r="A91" s="123" t="s">
        <v>288</v>
      </c>
      <c r="B91" s="117" t="s">
        <v>200</v>
      </c>
      <c r="C91" s="167"/>
      <c r="D91" s="228">
        <f t="shared" ref="D91:F92" si="19">D92</f>
        <v>46.4</v>
      </c>
      <c r="E91" s="228">
        <f t="shared" si="19"/>
        <v>0</v>
      </c>
      <c r="F91" s="229">
        <f t="shared" si="19"/>
        <v>25</v>
      </c>
      <c r="G91" s="11">
        <f t="shared" ref="G91:G93" si="20">F91-E91</f>
        <v>25</v>
      </c>
      <c r="H91" s="14"/>
    </row>
    <row r="92" spans="1:8" ht="39.75" customHeight="1">
      <c r="A92" s="120" t="s">
        <v>289</v>
      </c>
      <c r="B92" s="93" t="s">
        <v>164</v>
      </c>
      <c r="C92" s="164">
        <v>1010</v>
      </c>
      <c r="D92" s="88">
        <f t="shared" si="19"/>
        <v>46.4</v>
      </c>
      <c r="E92" s="88">
        <f t="shared" si="19"/>
        <v>0</v>
      </c>
      <c r="F92" s="230">
        <f t="shared" si="19"/>
        <v>25</v>
      </c>
      <c r="G92" s="90">
        <f t="shared" si="20"/>
        <v>25</v>
      </c>
      <c r="H92" s="90"/>
    </row>
    <row r="93" spans="1:8" s="6" customFormat="1" ht="18.75" customHeight="1">
      <c r="A93" s="127" t="s">
        <v>290</v>
      </c>
      <c r="B93" s="44" t="s">
        <v>91</v>
      </c>
      <c r="C93" s="166">
        <v>1011</v>
      </c>
      <c r="D93" s="231">
        <f>SUM(D94:D97)</f>
        <v>46.4</v>
      </c>
      <c r="E93" s="231">
        <f>SUM(E96:E97)</f>
        <v>0</v>
      </c>
      <c r="F93" s="226">
        <f>F94+F95+F96+F97</f>
        <v>25</v>
      </c>
      <c r="G93" s="16">
        <f t="shared" si="20"/>
        <v>25</v>
      </c>
      <c r="H93" s="16"/>
    </row>
    <row r="94" spans="1:8" s="6" customFormat="1" ht="36.75" customHeight="1">
      <c r="A94" s="124"/>
      <c r="B94" s="39" t="s">
        <v>220</v>
      </c>
      <c r="C94" s="119"/>
      <c r="D94" s="232"/>
      <c r="E94" s="228"/>
      <c r="F94" s="229"/>
      <c r="G94" s="11"/>
      <c r="H94" s="11"/>
    </row>
    <row r="95" spans="1:8" s="6" customFormat="1" ht="36" customHeight="1">
      <c r="A95" s="124"/>
      <c r="B95" s="20" t="s">
        <v>305</v>
      </c>
      <c r="C95" s="119"/>
      <c r="D95" s="232"/>
      <c r="E95" s="228"/>
      <c r="F95" s="227">
        <v>0.6</v>
      </c>
      <c r="G95" s="11"/>
      <c r="H95" s="11"/>
    </row>
    <row r="96" spans="1:8" ht="18" customHeight="1">
      <c r="A96" s="125"/>
      <c r="B96" s="15" t="s">
        <v>115</v>
      </c>
      <c r="C96" s="66"/>
      <c r="D96" s="232">
        <v>39.5</v>
      </c>
      <c r="E96" s="231"/>
      <c r="F96" s="227">
        <v>24.4</v>
      </c>
      <c r="G96" s="14">
        <f t="shared" ref="G96:G134" si="21">F96-E96</f>
        <v>24.4</v>
      </c>
      <c r="H96" s="14"/>
    </row>
    <row r="97" spans="1:8" ht="19.5" customHeight="1">
      <c r="A97" s="125"/>
      <c r="B97" s="15" t="s">
        <v>140</v>
      </c>
      <c r="C97" s="66"/>
      <c r="D97" s="232">
        <v>6.9</v>
      </c>
      <c r="E97" s="231"/>
      <c r="F97" s="227"/>
      <c r="G97" s="14">
        <f t="shared" si="21"/>
        <v>0</v>
      </c>
      <c r="H97" s="14"/>
    </row>
    <row r="98" spans="1:8" ht="75.75" customHeight="1">
      <c r="A98" s="119" t="s">
        <v>88</v>
      </c>
      <c r="B98" s="209" t="s">
        <v>273</v>
      </c>
      <c r="C98" s="119"/>
      <c r="D98" s="38">
        <f>SUM(D100,D118)</f>
        <v>9490.1999999999989</v>
      </c>
      <c r="E98" s="38">
        <f>SUM(E100,E118)</f>
        <v>12002.6</v>
      </c>
      <c r="F98" s="38">
        <f>SUM(F100,F118)</f>
        <v>10705.099999999999</v>
      </c>
      <c r="G98" s="11">
        <f t="shared" si="21"/>
        <v>-1297.5000000000018</v>
      </c>
      <c r="H98" s="11">
        <f t="shared" ref="H98:H129" si="22">(F98/E98)*100</f>
        <v>89.189842200856461</v>
      </c>
    </row>
    <row r="99" spans="1:8">
      <c r="A99" s="114"/>
      <c r="B99" s="59" t="s">
        <v>72</v>
      </c>
      <c r="C99" s="114"/>
      <c r="D99" s="36"/>
      <c r="E99" s="36"/>
      <c r="F99" s="36"/>
      <c r="G99" s="14">
        <f t="shared" si="21"/>
        <v>0</v>
      </c>
      <c r="H99" s="14"/>
    </row>
    <row r="100" spans="1:8" ht="39" customHeight="1">
      <c r="A100" s="120" t="s">
        <v>190</v>
      </c>
      <c r="B100" s="27" t="s">
        <v>76</v>
      </c>
      <c r="C100" s="164">
        <v>1010</v>
      </c>
      <c r="D100" s="222">
        <f>SUM(D101,D112,D113,D114)</f>
        <v>9442.6999999999989</v>
      </c>
      <c r="E100" s="222">
        <f>SUM(E101,E112,E113,E114)</f>
        <v>11912.6</v>
      </c>
      <c r="F100" s="222">
        <f>SUM(F101,F112,F113,F114)</f>
        <v>10585.099999999999</v>
      </c>
      <c r="G100" s="90">
        <f t="shared" si="21"/>
        <v>-1327.5000000000018</v>
      </c>
      <c r="H100" s="90">
        <f t="shared" si="22"/>
        <v>88.856336987727275</v>
      </c>
    </row>
    <row r="101" spans="1:8" s="6" customFormat="1" ht="21" customHeight="1">
      <c r="A101" s="121" t="s">
        <v>191</v>
      </c>
      <c r="B101" s="44" t="s">
        <v>91</v>
      </c>
      <c r="C101" s="166">
        <v>1011</v>
      </c>
      <c r="D101" s="223">
        <f>SUM(D102:D110)</f>
        <v>4330</v>
      </c>
      <c r="E101" s="223">
        <f>SUM(E102:E110)</f>
        <v>11912.6</v>
      </c>
      <c r="F101" s="223">
        <f>SUM(F102:F111)</f>
        <v>10585.099999999999</v>
      </c>
      <c r="G101" s="16">
        <f t="shared" si="21"/>
        <v>-1327.5000000000018</v>
      </c>
      <c r="H101" s="16">
        <f t="shared" si="22"/>
        <v>88.856336987727275</v>
      </c>
    </row>
    <row r="102" spans="1:8" ht="18.75" customHeight="1">
      <c r="A102" s="122"/>
      <c r="B102" s="20" t="s">
        <v>115</v>
      </c>
      <c r="C102" s="114"/>
      <c r="D102" s="36">
        <v>1651.6</v>
      </c>
      <c r="E102" s="36">
        <v>6250</v>
      </c>
      <c r="F102" s="36">
        <v>3979.5</v>
      </c>
      <c r="G102" s="14">
        <f t="shared" si="21"/>
        <v>-2270.5</v>
      </c>
      <c r="H102" s="157">
        <f t="shared" si="22"/>
        <v>63.671999999999997</v>
      </c>
    </row>
    <row r="103" spans="1:8" ht="18.75" customHeight="1">
      <c r="A103" s="122"/>
      <c r="B103" s="20" t="s">
        <v>286</v>
      </c>
      <c r="C103" s="114"/>
      <c r="D103" s="36"/>
      <c r="E103" s="36">
        <v>400</v>
      </c>
      <c r="F103" s="36"/>
      <c r="G103" s="14"/>
      <c r="H103" s="14"/>
    </row>
    <row r="104" spans="1:8" ht="18" customHeight="1">
      <c r="A104" s="122"/>
      <c r="B104" s="15" t="s">
        <v>153</v>
      </c>
      <c r="C104" s="114"/>
      <c r="D104" s="36">
        <v>11.9</v>
      </c>
      <c r="E104" s="36"/>
      <c r="F104" s="36"/>
      <c r="G104" s="14">
        <f t="shared" si="21"/>
        <v>0</v>
      </c>
      <c r="H104" s="14"/>
    </row>
    <row r="105" spans="1:8" ht="18" customHeight="1">
      <c r="A105" s="122"/>
      <c r="B105" s="20" t="s">
        <v>272</v>
      </c>
      <c r="C105" s="114"/>
      <c r="D105" s="36"/>
      <c r="E105" s="36"/>
      <c r="F105" s="36"/>
      <c r="G105" s="14"/>
      <c r="H105" s="14"/>
    </row>
    <row r="106" spans="1:8" ht="18" customHeight="1">
      <c r="A106" s="122"/>
      <c r="B106" s="15" t="s">
        <v>143</v>
      </c>
      <c r="C106" s="114"/>
      <c r="D106" s="36">
        <v>128.6</v>
      </c>
      <c r="E106" s="99">
        <v>197.6</v>
      </c>
      <c r="F106" s="36">
        <v>193.1</v>
      </c>
      <c r="G106" s="14">
        <f t="shared" si="21"/>
        <v>-4.5</v>
      </c>
      <c r="H106" s="14">
        <f t="shared" si="22"/>
        <v>97.722672064777328</v>
      </c>
    </row>
    <row r="107" spans="1:8" ht="18" customHeight="1">
      <c r="A107" s="122"/>
      <c r="B107" s="15" t="s">
        <v>131</v>
      </c>
      <c r="C107" s="114"/>
      <c r="D107" s="36">
        <v>1376.9</v>
      </c>
      <c r="E107" s="99">
        <v>2926.4</v>
      </c>
      <c r="F107" s="36">
        <v>4071.4</v>
      </c>
      <c r="G107" s="14">
        <f t="shared" si="21"/>
        <v>1145</v>
      </c>
      <c r="H107" s="14">
        <f t="shared" si="22"/>
        <v>139.12657189721159</v>
      </c>
    </row>
    <row r="108" spans="1:8" ht="20.25" customHeight="1">
      <c r="A108" s="122"/>
      <c r="B108" s="15" t="s">
        <v>132</v>
      </c>
      <c r="C108" s="114"/>
      <c r="D108" s="36">
        <v>155.1</v>
      </c>
      <c r="E108" s="99">
        <v>229.2</v>
      </c>
      <c r="F108" s="36">
        <v>215.5</v>
      </c>
      <c r="G108" s="14">
        <f t="shared" si="21"/>
        <v>-13.699999999999989</v>
      </c>
      <c r="H108" s="14">
        <f t="shared" si="22"/>
        <v>94.022687609075049</v>
      </c>
    </row>
    <row r="109" spans="1:8" ht="18" customHeight="1">
      <c r="A109" s="122"/>
      <c r="B109" s="15" t="s">
        <v>133</v>
      </c>
      <c r="C109" s="114"/>
      <c r="D109" s="36">
        <v>946.1</v>
      </c>
      <c r="E109" s="99">
        <v>1770</v>
      </c>
      <c r="F109" s="36">
        <v>2036.3</v>
      </c>
      <c r="G109" s="14">
        <f t="shared" si="21"/>
        <v>266.29999999999995</v>
      </c>
      <c r="H109" s="14">
        <f t="shared" si="22"/>
        <v>115.045197740113</v>
      </c>
    </row>
    <row r="110" spans="1:8" ht="18" customHeight="1">
      <c r="A110" s="122"/>
      <c r="B110" s="15" t="s">
        <v>134</v>
      </c>
      <c r="C110" s="114"/>
      <c r="D110" s="36">
        <v>59.8</v>
      </c>
      <c r="E110" s="99">
        <v>139.4</v>
      </c>
      <c r="F110" s="36">
        <v>89.3</v>
      </c>
      <c r="G110" s="14">
        <f t="shared" si="21"/>
        <v>-50.100000000000009</v>
      </c>
      <c r="H110" s="14">
        <f t="shared" si="22"/>
        <v>64.060258249641308</v>
      </c>
    </row>
    <row r="111" spans="1:8" ht="18" customHeight="1">
      <c r="A111" s="122"/>
      <c r="B111" s="15" t="s">
        <v>140</v>
      </c>
      <c r="C111" s="114"/>
      <c r="D111" s="36"/>
      <c r="E111" s="36"/>
      <c r="F111" s="36"/>
      <c r="G111" s="14"/>
      <c r="H111" s="157"/>
    </row>
    <row r="112" spans="1:8" s="6" customFormat="1" ht="18" customHeight="1">
      <c r="A112" s="121" t="s">
        <v>291</v>
      </c>
      <c r="B112" s="44" t="s">
        <v>1</v>
      </c>
      <c r="C112" s="166">
        <v>1012</v>
      </c>
      <c r="D112" s="223">
        <v>4180.8</v>
      </c>
      <c r="E112" s="223"/>
      <c r="F112" s="223"/>
      <c r="G112" s="16">
        <f t="shared" si="21"/>
        <v>0</v>
      </c>
      <c r="H112" s="158" t="e">
        <f t="shared" si="22"/>
        <v>#DIV/0!</v>
      </c>
    </row>
    <row r="113" spans="1:8" s="6" customFormat="1" ht="20.25" customHeight="1">
      <c r="A113" s="121" t="s">
        <v>292</v>
      </c>
      <c r="B113" s="44" t="s">
        <v>2</v>
      </c>
      <c r="C113" s="166">
        <v>1013</v>
      </c>
      <c r="D113" s="223">
        <v>899.8</v>
      </c>
      <c r="E113" s="223"/>
      <c r="F113" s="223"/>
      <c r="G113" s="16">
        <f t="shared" si="21"/>
        <v>0</v>
      </c>
      <c r="H113" s="158" t="e">
        <f t="shared" si="22"/>
        <v>#DIV/0!</v>
      </c>
    </row>
    <row r="114" spans="1:8" s="6" customFormat="1" ht="18" customHeight="1">
      <c r="A114" s="121" t="s">
        <v>293</v>
      </c>
      <c r="B114" s="111" t="s">
        <v>235</v>
      </c>
      <c r="C114" s="166">
        <v>1015</v>
      </c>
      <c r="D114" s="223">
        <f>SUM(D115:D116)</f>
        <v>32.1</v>
      </c>
      <c r="E114" s="223">
        <f>SUM(E115:E115)</f>
        <v>0</v>
      </c>
      <c r="F114" s="223">
        <f>SUM(F115:F117)</f>
        <v>0</v>
      </c>
      <c r="G114" s="16">
        <f t="shared" si="21"/>
        <v>0</v>
      </c>
      <c r="H114" s="158" t="e">
        <f t="shared" si="22"/>
        <v>#DIV/0!</v>
      </c>
    </row>
    <row r="115" spans="1:8" ht="36" customHeight="1">
      <c r="A115" s="122"/>
      <c r="B115" s="45" t="s">
        <v>252</v>
      </c>
      <c r="C115" s="114"/>
      <c r="D115" s="36">
        <v>32.1</v>
      </c>
      <c r="E115" s="36"/>
      <c r="F115" s="36"/>
      <c r="G115" s="16">
        <f t="shared" ref="G115" si="23">F115-E115</f>
        <v>0</v>
      </c>
      <c r="H115" s="158" t="e">
        <f t="shared" ref="H115" si="24">(F115/E115)*100</f>
        <v>#DIV/0!</v>
      </c>
    </row>
    <row r="116" spans="1:8" ht="19.5" customHeight="1">
      <c r="A116" s="122"/>
      <c r="B116" s="45" t="s">
        <v>271</v>
      </c>
      <c r="C116" s="114"/>
      <c r="D116" s="36"/>
      <c r="E116" s="36"/>
      <c r="F116" s="36"/>
      <c r="G116" s="16">
        <f t="shared" ref="G116:G117" si="25">F116-E116</f>
        <v>0</v>
      </c>
      <c r="H116" s="158" t="e">
        <f t="shared" ref="H116:H117" si="26">(F116/E116)*100</f>
        <v>#DIV/0!</v>
      </c>
    </row>
    <row r="117" spans="1:8" ht="18.75" customHeight="1">
      <c r="A117" s="122"/>
      <c r="B117" s="45" t="s">
        <v>268</v>
      </c>
      <c r="C117" s="114"/>
      <c r="D117" s="36"/>
      <c r="E117" s="36"/>
      <c r="F117" s="36"/>
      <c r="G117" s="16">
        <f t="shared" si="25"/>
        <v>0</v>
      </c>
      <c r="H117" s="158" t="e">
        <f t="shared" si="26"/>
        <v>#DIV/0!</v>
      </c>
    </row>
    <row r="118" spans="1:8" ht="20.100000000000001" customHeight="1">
      <c r="A118" s="120" t="s">
        <v>294</v>
      </c>
      <c r="B118" s="93" t="s">
        <v>77</v>
      </c>
      <c r="C118" s="164">
        <v>1020</v>
      </c>
      <c r="D118" s="222">
        <f>SUM(D119)</f>
        <v>47.5</v>
      </c>
      <c r="E118" s="222">
        <f t="shared" ref="E118:F118" si="27">SUM(E119)</f>
        <v>90</v>
      </c>
      <c r="F118" s="222">
        <f t="shared" si="27"/>
        <v>120</v>
      </c>
      <c r="G118" s="90">
        <f t="shared" si="21"/>
        <v>30</v>
      </c>
      <c r="H118" s="90">
        <f t="shared" si="22"/>
        <v>133.33333333333331</v>
      </c>
    </row>
    <row r="119" spans="1:8" s="6" customFormat="1" ht="17.25" customHeight="1">
      <c r="A119" s="121" t="s">
        <v>295</v>
      </c>
      <c r="B119" s="109" t="s">
        <v>163</v>
      </c>
      <c r="C119" s="166">
        <v>1025</v>
      </c>
      <c r="D119" s="233">
        <f>SUM(D120:D123)</f>
        <v>47.5</v>
      </c>
      <c r="E119" s="233">
        <f t="shared" ref="E119:F119" si="28">SUM(E120:E123)</f>
        <v>90</v>
      </c>
      <c r="F119" s="233">
        <f t="shared" si="28"/>
        <v>120</v>
      </c>
      <c r="G119" s="16">
        <f t="shared" si="21"/>
        <v>30</v>
      </c>
      <c r="H119" s="16">
        <f t="shared" si="22"/>
        <v>133.33333333333331</v>
      </c>
    </row>
    <row r="120" spans="1:8" ht="18" customHeight="1">
      <c r="A120" s="122"/>
      <c r="B120" s="39" t="s">
        <v>131</v>
      </c>
      <c r="C120" s="114"/>
      <c r="D120" s="36">
        <v>31.6</v>
      </c>
      <c r="E120" s="36">
        <v>60</v>
      </c>
      <c r="F120" s="36">
        <v>89.8</v>
      </c>
      <c r="G120" s="14">
        <f t="shared" si="21"/>
        <v>29.799999999999997</v>
      </c>
      <c r="H120" s="14">
        <f t="shared" si="22"/>
        <v>149.66666666666666</v>
      </c>
    </row>
    <row r="121" spans="1:8" ht="16.5" customHeight="1">
      <c r="A121" s="122"/>
      <c r="B121" s="39" t="s">
        <v>132</v>
      </c>
      <c r="C121" s="114"/>
      <c r="D121" s="36">
        <v>1.9</v>
      </c>
      <c r="E121" s="36">
        <v>2.8</v>
      </c>
      <c r="F121" s="36">
        <v>2.4</v>
      </c>
      <c r="G121" s="14">
        <f t="shared" si="21"/>
        <v>-0.39999999999999991</v>
      </c>
      <c r="H121" s="14">
        <f t="shared" si="22"/>
        <v>85.714285714285722</v>
      </c>
    </row>
    <row r="122" spans="1:8" ht="18" customHeight="1">
      <c r="A122" s="122"/>
      <c r="B122" s="39" t="s">
        <v>133</v>
      </c>
      <c r="C122" s="114"/>
      <c r="D122" s="36">
        <v>13.1</v>
      </c>
      <c r="E122" s="36">
        <v>25</v>
      </c>
      <c r="F122" s="36">
        <v>26.5</v>
      </c>
      <c r="G122" s="14">
        <f t="shared" si="21"/>
        <v>1.5</v>
      </c>
      <c r="H122" s="14">
        <f t="shared" si="22"/>
        <v>106</v>
      </c>
    </row>
    <row r="123" spans="1:8" ht="18" customHeight="1">
      <c r="A123" s="122"/>
      <c r="B123" s="39" t="s">
        <v>134</v>
      </c>
      <c r="C123" s="114"/>
      <c r="D123" s="36">
        <v>0.9</v>
      </c>
      <c r="E123" s="36">
        <v>2.2000000000000002</v>
      </c>
      <c r="F123" s="36">
        <v>1.3</v>
      </c>
      <c r="G123" s="14">
        <f t="shared" si="21"/>
        <v>-0.90000000000000013</v>
      </c>
      <c r="H123" s="14">
        <f t="shared" si="22"/>
        <v>59.090909090909079</v>
      </c>
    </row>
    <row r="124" spans="1:8" ht="36.75" customHeight="1">
      <c r="A124" s="123" t="s">
        <v>89</v>
      </c>
      <c r="B124" s="35" t="s">
        <v>202</v>
      </c>
      <c r="C124" s="168"/>
      <c r="D124" s="38">
        <f>D125</f>
        <v>0</v>
      </c>
      <c r="E124" s="38"/>
      <c r="F124" s="38">
        <f>F125</f>
        <v>0</v>
      </c>
      <c r="G124" s="11">
        <f t="shared" si="21"/>
        <v>0</v>
      </c>
      <c r="H124" s="14"/>
    </row>
    <row r="125" spans="1:8" ht="38.25" customHeight="1">
      <c r="A125" s="120" t="s">
        <v>92</v>
      </c>
      <c r="B125" s="27" t="s">
        <v>76</v>
      </c>
      <c r="C125" s="164">
        <v>1010</v>
      </c>
      <c r="D125" s="222">
        <f>D126</f>
        <v>0</v>
      </c>
      <c r="E125" s="222"/>
      <c r="F125" s="222">
        <f>F126</f>
        <v>0</v>
      </c>
      <c r="G125" s="90">
        <f t="shared" si="21"/>
        <v>0</v>
      </c>
      <c r="H125" s="16"/>
    </row>
    <row r="126" spans="1:8" s="6" customFormat="1" ht="18.75" customHeight="1">
      <c r="A126" s="121" t="s">
        <v>201</v>
      </c>
      <c r="B126" s="44" t="s">
        <v>91</v>
      </c>
      <c r="C126" s="166">
        <v>1011</v>
      </c>
      <c r="D126" s="223">
        <f>D127</f>
        <v>0</v>
      </c>
      <c r="E126" s="223"/>
      <c r="F126" s="223">
        <f>F127+F128</f>
        <v>0</v>
      </c>
      <c r="G126" s="16">
        <f t="shared" si="21"/>
        <v>0</v>
      </c>
      <c r="H126" s="16"/>
    </row>
    <row r="127" spans="1:8">
      <c r="A127" s="122"/>
      <c r="B127" s="20" t="s">
        <v>140</v>
      </c>
      <c r="C127" s="114"/>
      <c r="D127" s="36"/>
      <c r="E127" s="36"/>
      <c r="F127" s="36"/>
      <c r="G127" s="14">
        <f t="shared" si="21"/>
        <v>0</v>
      </c>
      <c r="H127" s="14"/>
    </row>
    <row r="128" spans="1:8" ht="18" customHeight="1">
      <c r="A128" s="122"/>
      <c r="B128" s="20" t="s">
        <v>154</v>
      </c>
      <c r="C128" s="114"/>
      <c r="D128" s="36"/>
      <c r="E128" s="36"/>
      <c r="F128" s="36"/>
      <c r="G128" s="14"/>
      <c r="H128" s="14"/>
    </row>
    <row r="129" spans="1:8" ht="36" customHeight="1">
      <c r="A129" s="124" t="s">
        <v>111</v>
      </c>
      <c r="B129" s="49" t="s">
        <v>192</v>
      </c>
      <c r="C129" s="119"/>
      <c r="D129" s="38">
        <f>SUM(D131,D138)</f>
        <v>99.600000000000009</v>
      </c>
      <c r="E129" s="38">
        <f t="shared" ref="E129:F129" si="29">SUM(E131,E138)</f>
        <v>90.1</v>
      </c>
      <c r="F129" s="38">
        <f t="shared" si="29"/>
        <v>101.80000000000001</v>
      </c>
      <c r="G129" s="11">
        <f t="shared" si="21"/>
        <v>11.700000000000017</v>
      </c>
      <c r="H129" s="11">
        <f t="shared" si="22"/>
        <v>112.98557158712543</v>
      </c>
    </row>
    <row r="130" spans="1:8" ht="18.75" customHeight="1">
      <c r="A130" s="125"/>
      <c r="B130" s="48" t="s">
        <v>72</v>
      </c>
      <c r="C130" s="119"/>
      <c r="D130" s="38"/>
      <c r="E130" s="38"/>
      <c r="F130" s="38"/>
      <c r="G130" s="14">
        <f t="shared" si="21"/>
        <v>0</v>
      </c>
      <c r="H130" s="14"/>
    </row>
    <row r="131" spans="1:8" ht="37.5" customHeight="1">
      <c r="A131" s="126" t="s">
        <v>90</v>
      </c>
      <c r="B131" s="95" t="s">
        <v>76</v>
      </c>
      <c r="C131" s="164">
        <v>1010</v>
      </c>
      <c r="D131" s="222">
        <f>D132</f>
        <v>99.300000000000011</v>
      </c>
      <c r="E131" s="222">
        <f>E132</f>
        <v>89.8</v>
      </c>
      <c r="F131" s="222">
        <f>F132</f>
        <v>101.60000000000001</v>
      </c>
      <c r="G131" s="90">
        <f t="shared" si="21"/>
        <v>11.800000000000011</v>
      </c>
      <c r="H131" s="90">
        <f>F131/E131*100</f>
        <v>113.14031180400892</v>
      </c>
    </row>
    <row r="132" spans="1:8" s="6" customFormat="1" ht="22.5" customHeight="1">
      <c r="A132" s="127" t="s">
        <v>203</v>
      </c>
      <c r="B132" s="44" t="s">
        <v>91</v>
      </c>
      <c r="C132" s="166">
        <v>1011</v>
      </c>
      <c r="D132" s="223">
        <f>D133+D134+D135+D136+D137</f>
        <v>99.300000000000011</v>
      </c>
      <c r="E132" s="223">
        <f>E133+E134+E135+E136</f>
        <v>89.8</v>
      </c>
      <c r="F132" s="223">
        <f>SUM(F133:F137)</f>
        <v>101.60000000000001</v>
      </c>
      <c r="G132" s="16">
        <f t="shared" si="21"/>
        <v>11.800000000000011</v>
      </c>
      <c r="H132" s="16">
        <f t="shared" ref="H132:H136" si="30">F132/E132*100</f>
        <v>113.14031180400892</v>
      </c>
    </row>
    <row r="133" spans="1:8" ht="18" customHeight="1">
      <c r="A133" s="125"/>
      <c r="B133" s="20" t="s">
        <v>131</v>
      </c>
      <c r="C133" s="114"/>
      <c r="D133" s="36">
        <v>4.3</v>
      </c>
      <c r="E133" s="36">
        <v>3.8</v>
      </c>
      <c r="F133" s="36">
        <v>8.1</v>
      </c>
      <c r="G133" s="14">
        <f t="shared" si="21"/>
        <v>4.3</v>
      </c>
      <c r="H133" s="14">
        <f t="shared" si="30"/>
        <v>213.15789473684214</v>
      </c>
    </row>
    <row r="134" spans="1:8" ht="23.25" customHeight="1">
      <c r="A134" s="125"/>
      <c r="B134" s="20" t="s">
        <v>132</v>
      </c>
      <c r="C134" s="114"/>
      <c r="D134" s="36">
        <v>1.6</v>
      </c>
      <c r="E134" s="36">
        <v>1.8</v>
      </c>
      <c r="F134" s="36">
        <v>1.4</v>
      </c>
      <c r="G134" s="14">
        <f t="shared" si="21"/>
        <v>-0.40000000000000013</v>
      </c>
      <c r="H134" s="14">
        <f t="shared" si="30"/>
        <v>77.777777777777771</v>
      </c>
    </row>
    <row r="135" spans="1:8" ht="18" customHeight="1">
      <c r="A135" s="125"/>
      <c r="B135" s="20" t="s">
        <v>133</v>
      </c>
      <c r="C135" s="114"/>
      <c r="D135" s="36">
        <v>92.5</v>
      </c>
      <c r="E135" s="36">
        <v>84</v>
      </c>
      <c r="F135" s="36">
        <v>91.9</v>
      </c>
      <c r="G135" s="14">
        <f t="shared" ref="G135:G174" si="31">F135-E135</f>
        <v>7.9000000000000057</v>
      </c>
      <c r="H135" s="14">
        <f t="shared" si="30"/>
        <v>109.40476190476191</v>
      </c>
    </row>
    <row r="136" spans="1:8" ht="18" customHeight="1">
      <c r="A136" s="125"/>
      <c r="B136" s="20" t="s">
        <v>134</v>
      </c>
      <c r="C136" s="114"/>
      <c r="D136" s="36">
        <v>0.2</v>
      </c>
      <c r="E136" s="36">
        <v>0.2</v>
      </c>
      <c r="F136" s="36">
        <v>0.2</v>
      </c>
      <c r="G136" s="14">
        <f t="shared" si="31"/>
        <v>0</v>
      </c>
      <c r="H136" s="14">
        <f t="shared" si="30"/>
        <v>100</v>
      </c>
    </row>
    <row r="137" spans="1:8" ht="18" customHeight="1">
      <c r="A137" s="125"/>
      <c r="B137" s="20" t="s">
        <v>258</v>
      </c>
      <c r="C137" s="114"/>
      <c r="D137" s="36">
        <v>0.7</v>
      </c>
      <c r="E137" s="36"/>
      <c r="F137" s="36"/>
      <c r="G137" s="14">
        <f t="shared" si="31"/>
        <v>0</v>
      </c>
      <c r="H137" s="14"/>
    </row>
    <row r="138" spans="1:8" ht="20.100000000000001" customHeight="1">
      <c r="A138" s="126" t="s">
        <v>296</v>
      </c>
      <c r="B138" s="95" t="s">
        <v>77</v>
      </c>
      <c r="C138" s="164">
        <v>1020</v>
      </c>
      <c r="D138" s="222">
        <f>SUM(D139)</f>
        <v>0.3</v>
      </c>
      <c r="E138" s="222">
        <f t="shared" ref="E138:F138" si="32">SUM(E139)</f>
        <v>0.3</v>
      </c>
      <c r="F138" s="222">
        <f t="shared" si="32"/>
        <v>0.2</v>
      </c>
      <c r="G138" s="90">
        <f t="shared" si="31"/>
        <v>-9.9999999999999978E-2</v>
      </c>
      <c r="H138" s="90">
        <f t="shared" ref="H138:H141" si="33">(F138/E138)*100</f>
        <v>66.666666666666671</v>
      </c>
    </row>
    <row r="139" spans="1:8" s="6" customFormat="1" ht="20.100000000000001" customHeight="1">
      <c r="A139" s="127" t="s">
        <v>297</v>
      </c>
      <c r="B139" s="109" t="s">
        <v>159</v>
      </c>
      <c r="C139" s="166">
        <v>1025</v>
      </c>
      <c r="D139" s="223">
        <f>SUM(D140)</f>
        <v>0.3</v>
      </c>
      <c r="E139" s="223">
        <f t="shared" ref="E139:F139" si="34">SUM(E140)</f>
        <v>0.3</v>
      </c>
      <c r="F139" s="223">
        <f t="shared" si="34"/>
        <v>0.2</v>
      </c>
      <c r="G139" s="16">
        <f t="shared" si="31"/>
        <v>-9.9999999999999978E-2</v>
      </c>
      <c r="H139" s="16">
        <f t="shared" si="33"/>
        <v>66.666666666666671</v>
      </c>
    </row>
    <row r="140" spans="1:8" ht="18" customHeight="1">
      <c r="A140" s="125"/>
      <c r="B140" s="20" t="s">
        <v>38</v>
      </c>
      <c r="C140" s="114"/>
      <c r="D140" s="36">
        <v>0.3</v>
      </c>
      <c r="E140" s="36">
        <v>0.3</v>
      </c>
      <c r="F140" s="36">
        <v>0.2</v>
      </c>
      <c r="G140" s="14">
        <f t="shared" si="31"/>
        <v>-9.9999999999999978E-2</v>
      </c>
      <c r="H140" s="14"/>
    </row>
    <row r="141" spans="1:8" ht="20.25" customHeight="1">
      <c r="A141" s="124" t="s">
        <v>112</v>
      </c>
      <c r="B141" s="49" t="s">
        <v>145</v>
      </c>
      <c r="C141" s="119"/>
      <c r="D141" s="38">
        <f>SUM(D142,D145)</f>
        <v>0</v>
      </c>
      <c r="E141" s="38">
        <f t="shared" ref="E141:F141" si="35">SUM(E142,E145)</f>
        <v>10</v>
      </c>
      <c r="F141" s="38">
        <f t="shared" si="35"/>
        <v>0</v>
      </c>
      <c r="G141" s="11">
        <f t="shared" si="31"/>
        <v>-10</v>
      </c>
      <c r="H141" s="11">
        <f t="shared" si="33"/>
        <v>0</v>
      </c>
    </row>
    <row r="142" spans="1:8" ht="38.25" customHeight="1">
      <c r="A142" s="126" t="s">
        <v>204</v>
      </c>
      <c r="B142" s="95" t="s">
        <v>76</v>
      </c>
      <c r="C142" s="164">
        <v>1010</v>
      </c>
      <c r="D142" s="222">
        <f>SUM(D143)</f>
        <v>0</v>
      </c>
      <c r="E142" s="222">
        <f>SUM(E143)</f>
        <v>10</v>
      </c>
      <c r="F142" s="222">
        <f>F144</f>
        <v>0</v>
      </c>
      <c r="G142" s="90">
        <f t="shared" si="31"/>
        <v>-10</v>
      </c>
      <c r="H142" s="16"/>
    </row>
    <row r="143" spans="1:8" s="6" customFormat="1" ht="19.5" customHeight="1">
      <c r="A143" s="127" t="s">
        <v>205</v>
      </c>
      <c r="B143" s="44" t="s">
        <v>91</v>
      </c>
      <c r="C143" s="166">
        <v>1011</v>
      </c>
      <c r="D143" s="223">
        <f>SUM(D144)</f>
        <v>0</v>
      </c>
      <c r="E143" s="223">
        <f>SUM(E144)</f>
        <v>10</v>
      </c>
      <c r="F143" s="223">
        <f>F144</f>
        <v>0</v>
      </c>
      <c r="G143" s="16">
        <f t="shared" si="31"/>
        <v>-10</v>
      </c>
      <c r="H143" s="16"/>
    </row>
    <row r="144" spans="1:8" ht="17.25" customHeight="1">
      <c r="A144" s="124"/>
      <c r="B144" s="20" t="s">
        <v>154</v>
      </c>
      <c r="C144" s="119"/>
      <c r="D144" s="36"/>
      <c r="E144" s="36">
        <v>10</v>
      </c>
      <c r="F144" s="36"/>
      <c r="G144" s="14">
        <f t="shared" si="31"/>
        <v>-10</v>
      </c>
      <c r="H144" s="14"/>
    </row>
    <row r="145" spans="1:10" ht="18.75" customHeight="1">
      <c r="A145" s="126" t="s">
        <v>206</v>
      </c>
      <c r="B145" s="95" t="s">
        <v>77</v>
      </c>
      <c r="C145" s="164">
        <v>1020</v>
      </c>
      <c r="D145" s="222">
        <f>D146</f>
        <v>0</v>
      </c>
      <c r="E145" s="222">
        <f t="shared" ref="E145:E146" si="36">E146</f>
        <v>0</v>
      </c>
      <c r="F145" s="223"/>
      <c r="G145" s="90">
        <f>F145-E145</f>
        <v>0</v>
      </c>
      <c r="H145" s="16"/>
    </row>
    <row r="146" spans="1:10" s="6" customFormat="1" ht="18.75" customHeight="1">
      <c r="A146" s="127" t="s">
        <v>298</v>
      </c>
      <c r="B146" s="44" t="s">
        <v>91</v>
      </c>
      <c r="C146" s="166">
        <v>1021</v>
      </c>
      <c r="D146" s="223">
        <f>D147</f>
        <v>0</v>
      </c>
      <c r="E146" s="223">
        <f t="shared" si="36"/>
        <v>0</v>
      </c>
      <c r="F146" s="223"/>
      <c r="G146" s="16">
        <f t="shared" ref="G146:G147" si="37">F146-E146</f>
        <v>0</v>
      </c>
      <c r="H146" s="16"/>
    </row>
    <row r="147" spans="1:10" ht="18" customHeight="1">
      <c r="A147" s="125"/>
      <c r="B147" s="20" t="s">
        <v>154</v>
      </c>
      <c r="C147" s="114"/>
      <c r="D147" s="36"/>
      <c r="E147" s="36"/>
      <c r="F147" s="36">
        <v>0</v>
      </c>
      <c r="G147" s="14">
        <f t="shared" si="37"/>
        <v>0</v>
      </c>
      <c r="H147" s="14"/>
    </row>
    <row r="148" spans="1:10" ht="18" customHeight="1">
      <c r="A148" s="124" t="s">
        <v>146</v>
      </c>
      <c r="B148" s="35" t="s">
        <v>113</v>
      </c>
      <c r="C148" s="119"/>
      <c r="D148" s="38">
        <f>SUM(D150,D169,D175)</f>
        <v>2584.6000000000004</v>
      </c>
      <c r="E148" s="38">
        <f>SUM(E150,E169,E175)</f>
        <v>0</v>
      </c>
      <c r="F148" s="38">
        <f>SUM(F150,F162,F169,F175)</f>
        <v>4447.7999999999993</v>
      </c>
      <c r="G148" s="11">
        <f t="shared" si="31"/>
        <v>4447.7999999999993</v>
      </c>
      <c r="H148" s="14"/>
      <c r="J148" s="5" t="s">
        <v>378</v>
      </c>
    </row>
    <row r="149" spans="1:10" ht="18" customHeight="1">
      <c r="A149" s="124"/>
      <c r="B149" s="48" t="s">
        <v>72</v>
      </c>
      <c r="C149" s="114"/>
      <c r="D149" s="36"/>
      <c r="E149" s="36"/>
      <c r="F149" s="36"/>
      <c r="G149" s="14">
        <f t="shared" si="31"/>
        <v>0</v>
      </c>
      <c r="H149" s="14"/>
    </row>
    <row r="150" spans="1:10" ht="38.25" customHeight="1">
      <c r="A150" s="126" t="s">
        <v>207</v>
      </c>
      <c r="B150" s="27" t="s">
        <v>76</v>
      </c>
      <c r="C150" s="164">
        <v>1010</v>
      </c>
      <c r="D150" s="222">
        <f>SUM(D151,D162)</f>
        <v>2570.6000000000004</v>
      </c>
      <c r="E150" s="222">
        <f>SUM(E151,E162)</f>
        <v>0</v>
      </c>
      <c r="F150" s="222">
        <f>SUM(F151,)</f>
        <v>4375.8999999999996</v>
      </c>
      <c r="G150" s="90">
        <f t="shared" si="31"/>
        <v>4375.8999999999996</v>
      </c>
      <c r="H150" s="90"/>
    </row>
    <row r="151" spans="1:10" s="6" customFormat="1" ht="21" customHeight="1">
      <c r="A151" s="127" t="s">
        <v>208</v>
      </c>
      <c r="B151" s="44" t="s">
        <v>91</v>
      </c>
      <c r="C151" s="166">
        <v>1011</v>
      </c>
      <c r="D151" s="223">
        <f>SUM(D152:D161)</f>
        <v>2289.5000000000005</v>
      </c>
      <c r="E151" s="223">
        <f>SUM(E152:E161)</f>
        <v>0</v>
      </c>
      <c r="F151" s="223">
        <f>SUM(F152:F161)</f>
        <v>4375.8999999999996</v>
      </c>
      <c r="G151" s="16">
        <f t="shared" si="31"/>
        <v>4375.8999999999996</v>
      </c>
      <c r="H151" s="16"/>
    </row>
    <row r="152" spans="1:10" ht="17.25" customHeight="1">
      <c r="A152" s="124"/>
      <c r="B152" s="20" t="s">
        <v>214</v>
      </c>
      <c r="C152" s="119"/>
      <c r="D152" s="36">
        <v>85.4</v>
      </c>
      <c r="E152" s="36"/>
      <c r="F152" s="36">
        <v>32.1</v>
      </c>
      <c r="G152" s="14">
        <f t="shared" si="31"/>
        <v>32.1</v>
      </c>
      <c r="H152" s="14"/>
    </row>
    <row r="153" spans="1:10" ht="18" customHeight="1">
      <c r="A153" s="124"/>
      <c r="B153" s="20" t="s">
        <v>259</v>
      </c>
      <c r="C153" s="114"/>
      <c r="D153" s="36">
        <v>352.1</v>
      </c>
      <c r="E153" s="36"/>
      <c r="F153" s="227">
        <v>701.1</v>
      </c>
      <c r="G153" s="14">
        <f t="shared" si="31"/>
        <v>701.1</v>
      </c>
      <c r="H153" s="14"/>
    </row>
    <row r="154" spans="1:10" ht="18" customHeight="1">
      <c r="A154" s="124"/>
      <c r="B154" s="20" t="s">
        <v>230</v>
      </c>
      <c r="C154" s="114"/>
      <c r="D154" s="36">
        <v>150.69999999999999</v>
      </c>
      <c r="E154" s="36"/>
      <c r="F154" s="227">
        <v>204.5</v>
      </c>
      <c r="G154" s="14">
        <f t="shared" si="31"/>
        <v>204.5</v>
      </c>
      <c r="H154" s="14"/>
    </row>
    <row r="155" spans="1:10" ht="18" customHeight="1">
      <c r="A155" s="124"/>
      <c r="B155" s="20" t="s">
        <v>152</v>
      </c>
      <c r="C155" s="114"/>
      <c r="D155" s="36">
        <v>172.7</v>
      </c>
      <c r="E155" s="36"/>
      <c r="F155" s="227">
        <v>72.7</v>
      </c>
      <c r="G155" s="14">
        <f t="shared" si="31"/>
        <v>72.7</v>
      </c>
      <c r="H155" s="14"/>
    </row>
    <row r="156" spans="1:10" ht="18" customHeight="1">
      <c r="A156" s="124"/>
      <c r="B156" s="20" t="s">
        <v>153</v>
      </c>
      <c r="C156" s="114"/>
      <c r="D156" s="36">
        <v>76.8</v>
      </c>
      <c r="E156" s="36"/>
      <c r="F156" s="227">
        <v>9.6</v>
      </c>
      <c r="G156" s="14">
        <f t="shared" si="31"/>
        <v>9.6</v>
      </c>
      <c r="H156" s="14"/>
    </row>
    <row r="157" spans="1:10" ht="18" customHeight="1">
      <c r="A157" s="124"/>
      <c r="B157" s="20" t="s">
        <v>231</v>
      </c>
      <c r="C157" s="114"/>
      <c r="D157" s="36">
        <v>5.5</v>
      </c>
      <c r="E157" s="36"/>
      <c r="F157" s="227">
        <v>1.8</v>
      </c>
      <c r="G157" s="14">
        <f t="shared" si="31"/>
        <v>1.8</v>
      </c>
      <c r="H157" s="14"/>
    </row>
    <row r="158" spans="1:10" ht="18" customHeight="1">
      <c r="A158" s="124"/>
      <c r="B158" s="20" t="s">
        <v>155</v>
      </c>
      <c r="C158" s="114"/>
      <c r="D158" s="36"/>
      <c r="E158" s="36"/>
      <c r="F158" s="227">
        <v>180.4</v>
      </c>
      <c r="G158" s="14">
        <f t="shared" si="31"/>
        <v>180.4</v>
      </c>
      <c r="H158" s="14"/>
    </row>
    <row r="159" spans="1:10" ht="37.5" customHeight="1">
      <c r="A159" s="124"/>
      <c r="B159" s="39" t="s">
        <v>220</v>
      </c>
      <c r="C159" s="169"/>
      <c r="D159" s="36"/>
      <c r="E159" s="36"/>
      <c r="F159" s="227">
        <v>5.5</v>
      </c>
      <c r="G159" s="14">
        <f t="shared" si="31"/>
        <v>5.5</v>
      </c>
      <c r="H159" s="14"/>
    </row>
    <row r="160" spans="1:10" ht="18" customHeight="1">
      <c r="A160" s="124"/>
      <c r="B160" s="20" t="s">
        <v>115</v>
      </c>
      <c r="C160" s="169"/>
      <c r="D160" s="36">
        <v>1413.9</v>
      </c>
      <c r="E160" s="36"/>
      <c r="F160" s="227">
        <v>2731</v>
      </c>
      <c r="G160" s="14">
        <f t="shared" si="31"/>
        <v>2731</v>
      </c>
      <c r="H160" s="14"/>
    </row>
    <row r="161" spans="1:8" ht="18" customHeight="1">
      <c r="A161" s="124"/>
      <c r="B161" s="20" t="s">
        <v>140</v>
      </c>
      <c r="C161" s="114"/>
      <c r="D161" s="36">
        <v>32.4</v>
      </c>
      <c r="E161" s="36"/>
      <c r="F161" s="227">
        <v>437.2</v>
      </c>
      <c r="G161" s="14">
        <f t="shared" si="31"/>
        <v>437.2</v>
      </c>
      <c r="H161" s="14"/>
    </row>
    <row r="162" spans="1:8" s="6" customFormat="1" ht="18" customHeight="1">
      <c r="A162" s="126" t="s">
        <v>299</v>
      </c>
      <c r="B162" s="27" t="s">
        <v>211</v>
      </c>
      <c r="C162" s="170">
        <v>1015</v>
      </c>
      <c r="D162" s="222">
        <f>D163+D164+D165</f>
        <v>281.10000000000002</v>
      </c>
      <c r="E162" s="222">
        <f>SUM(E163)</f>
        <v>0</v>
      </c>
      <c r="F162" s="230">
        <f>F163+F164+F165+F166+F167+F168</f>
        <v>71.399999999999991</v>
      </c>
      <c r="G162" s="90">
        <f t="shared" si="31"/>
        <v>71.399999999999991</v>
      </c>
      <c r="H162" s="90"/>
    </row>
    <row r="163" spans="1:8" ht="18.75" customHeight="1">
      <c r="A163" s="124"/>
      <c r="B163" s="20" t="s">
        <v>180</v>
      </c>
      <c r="C163" s="114"/>
      <c r="D163" s="36">
        <v>231.5</v>
      </c>
      <c r="E163" s="36"/>
      <c r="F163" s="227">
        <v>21.3</v>
      </c>
      <c r="G163" s="14">
        <f t="shared" si="31"/>
        <v>21.3</v>
      </c>
      <c r="H163" s="14"/>
    </row>
    <row r="164" spans="1:8" ht="21.75" customHeight="1">
      <c r="A164" s="124"/>
      <c r="B164" s="45" t="s">
        <v>138</v>
      </c>
      <c r="C164" s="114"/>
      <c r="D164" s="36">
        <v>25.6</v>
      </c>
      <c r="E164" s="36"/>
      <c r="F164" s="227">
        <v>4.2</v>
      </c>
      <c r="G164" s="14">
        <f t="shared" si="31"/>
        <v>4.2</v>
      </c>
      <c r="H164" s="14"/>
    </row>
    <row r="165" spans="1:8" ht="18" customHeight="1">
      <c r="A165" s="124"/>
      <c r="B165" s="47" t="s">
        <v>177</v>
      </c>
      <c r="C165" s="114"/>
      <c r="D165" s="36">
        <v>24</v>
      </c>
      <c r="E165" s="36"/>
      <c r="F165" s="227"/>
      <c r="G165" s="14">
        <f t="shared" si="31"/>
        <v>0</v>
      </c>
      <c r="H165" s="14"/>
    </row>
    <row r="166" spans="1:8" ht="18" customHeight="1">
      <c r="A166" s="124"/>
      <c r="B166" s="20" t="s">
        <v>369</v>
      </c>
      <c r="C166" s="171"/>
      <c r="D166" s="26"/>
      <c r="E166" s="26"/>
      <c r="F166" s="26">
        <v>24.6</v>
      </c>
      <c r="G166" s="14"/>
      <c r="H166" s="14"/>
    </row>
    <row r="167" spans="1:8" ht="18" customHeight="1">
      <c r="A167" s="124"/>
      <c r="B167" s="196" t="s">
        <v>371</v>
      </c>
      <c r="C167" s="171"/>
      <c r="D167" s="26"/>
      <c r="E167" s="26"/>
      <c r="F167" s="26">
        <v>17.7</v>
      </c>
      <c r="G167" s="14"/>
      <c r="H167" s="14"/>
    </row>
    <row r="168" spans="1:8" ht="18" customHeight="1">
      <c r="A168" s="124"/>
      <c r="B168" s="196" t="s">
        <v>370</v>
      </c>
      <c r="C168" s="171"/>
      <c r="D168" s="26"/>
      <c r="E168" s="26"/>
      <c r="F168" s="26">
        <v>3.6</v>
      </c>
      <c r="G168" s="14"/>
      <c r="H168" s="14"/>
    </row>
    <row r="169" spans="1:8" ht="19.5" customHeight="1">
      <c r="A169" s="126" t="s">
        <v>209</v>
      </c>
      <c r="B169" s="95" t="s">
        <v>77</v>
      </c>
      <c r="C169" s="164">
        <v>1020</v>
      </c>
      <c r="D169" s="222">
        <f>D170+D173</f>
        <v>14</v>
      </c>
      <c r="E169" s="223">
        <f>SUM(E173)</f>
        <v>0</v>
      </c>
      <c r="F169" s="222">
        <f>SUM(F170,F173)</f>
        <v>0</v>
      </c>
      <c r="G169" s="90">
        <f t="shared" si="31"/>
        <v>0</v>
      </c>
      <c r="H169" s="16"/>
    </row>
    <row r="170" spans="1:8" s="6" customFormat="1" ht="16.5" customHeight="1">
      <c r="A170" s="124" t="s">
        <v>244</v>
      </c>
      <c r="B170" s="35" t="s">
        <v>91</v>
      </c>
      <c r="C170" s="119">
        <v>1021</v>
      </c>
      <c r="D170" s="38">
        <f>D171</f>
        <v>0</v>
      </c>
      <c r="E170" s="38"/>
      <c r="F170" s="38">
        <f>SUM(F171)</f>
        <v>0</v>
      </c>
      <c r="G170" s="14">
        <f t="shared" si="31"/>
        <v>0</v>
      </c>
      <c r="H170" s="11"/>
    </row>
    <row r="171" spans="1:8" ht="0.75" hidden="1" customHeight="1">
      <c r="A171" s="127"/>
      <c r="B171" s="60" t="s">
        <v>118</v>
      </c>
      <c r="C171" s="166"/>
      <c r="D171" s="36"/>
      <c r="E171" s="223"/>
      <c r="F171" s="36"/>
      <c r="G171" s="14">
        <f t="shared" si="31"/>
        <v>0</v>
      </c>
      <c r="H171" s="16"/>
    </row>
    <row r="172" spans="1:8" ht="18.75" hidden="1" customHeight="1">
      <c r="A172" s="127"/>
      <c r="B172" s="20" t="s">
        <v>226</v>
      </c>
      <c r="C172" s="166"/>
      <c r="D172" s="36"/>
      <c r="E172" s="223"/>
      <c r="F172" s="36"/>
      <c r="G172" s="14"/>
      <c r="H172" s="16"/>
    </row>
    <row r="173" spans="1:8" s="6" customFormat="1" ht="18" customHeight="1">
      <c r="A173" s="127" t="s">
        <v>210</v>
      </c>
      <c r="B173" s="109" t="s">
        <v>212</v>
      </c>
      <c r="C173" s="166">
        <v>1025</v>
      </c>
      <c r="D173" s="223">
        <f>SUM(D174)</f>
        <v>14</v>
      </c>
      <c r="E173" s="223"/>
      <c r="F173" s="223">
        <f>F174</f>
        <v>0</v>
      </c>
      <c r="G173" s="16">
        <f t="shared" si="31"/>
        <v>0</v>
      </c>
      <c r="H173" s="16"/>
    </row>
    <row r="174" spans="1:8" ht="18" customHeight="1">
      <c r="A174" s="124"/>
      <c r="B174" s="20" t="s">
        <v>213</v>
      </c>
      <c r="C174" s="119"/>
      <c r="D174" s="36">
        <v>14</v>
      </c>
      <c r="E174" s="36"/>
      <c r="F174" s="36"/>
      <c r="G174" s="14">
        <f t="shared" si="31"/>
        <v>0</v>
      </c>
      <c r="H174" s="14"/>
    </row>
    <row r="175" spans="1:8" ht="18" customHeight="1">
      <c r="A175" s="126" t="s">
        <v>311</v>
      </c>
      <c r="B175" s="94" t="s">
        <v>10</v>
      </c>
      <c r="C175" s="164">
        <v>1030</v>
      </c>
      <c r="D175" s="222">
        <f>SUM(D176)</f>
        <v>0</v>
      </c>
      <c r="E175" s="222">
        <f>SUM(E176)</f>
        <v>0</v>
      </c>
      <c r="F175" s="222">
        <f>F177</f>
        <v>0.5</v>
      </c>
      <c r="G175" s="90">
        <f t="shared" ref="G175:G177" si="38">F175-E175</f>
        <v>0.5</v>
      </c>
      <c r="H175" s="16"/>
    </row>
    <row r="176" spans="1:8" s="6" customFormat="1" ht="18" customHeight="1">
      <c r="A176" s="127" t="s">
        <v>300</v>
      </c>
      <c r="B176" s="110" t="s">
        <v>197</v>
      </c>
      <c r="C176" s="166">
        <v>1035</v>
      </c>
      <c r="D176" s="223">
        <f>SUM(D177:D177)</f>
        <v>0</v>
      </c>
      <c r="E176" s="223">
        <f>SUM(E177:E177)</f>
        <v>0</v>
      </c>
      <c r="F176" s="223">
        <f>SUM(F177:F177)</f>
        <v>0.5</v>
      </c>
      <c r="G176" s="16">
        <f t="shared" si="38"/>
        <v>0.5</v>
      </c>
      <c r="H176" s="16"/>
    </row>
    <row r="177" spans="1:8" ht="18" customHeight="1">
      <c r="A177" s="124"/>
      <c r="B177" s="196" t="s">
        <v>372</v>
      </c>
      <c r="C177" s="114"/>
      <c r="D177" s="36"/>
      <c r="E177" s="36"/>
      <c r="F177" s="227">
        <v>0.5</v>
      </c>
      <c r="G177" s="14">
        <f t="shared" si="38"/>
        <v>0.5</v>
      </c>
      <c r="H177" s="14"/>
    </row>
    <row r="178" spans="1:8" ht="36.75" customHeight="1">
      <c r="A178" s="124" t="s">
        <v>147</v>
      </c>
      <c r="B178" s="118" t="s">
        <v>215</v>
      </c>
      <c r="C178" s="119"/>
      <c r="D178" s="38">
        <f>D179+D182+D185</f>
        <v>23</v>
      </c>
      <c r="E178" s="38">
        <f>E179+E182+E185</f>
        <v>48.6</v>
      </c>
      <c r="F178" s="38">
        <f>F179+F182+F185</f>
        <v>31.1</v>
      </c>
      <c r="G178" s="11">
        <f t="shared" ref="G178:G194" si="39">F178-E178</f>
        <v>-17.5</v>
      </c>
      <c r="H178" s="11">
        <f>F178/E178*100</f>
        <v>63.991769547325106</v>
      </c>
    </row>
    <row r="179" spans="1:8" ht="42.75" customHeight="1">
      <c r="A179" s="126" t="s">
        <v>193</v>
      </c>
      <c r="B179" s="27" t="s">
        <v>76</v>
      </c>
      <c r="C179" s="164">
        <v>1010</v>
      </c>
      <c r="D179" s="223">
        <f t="shared" ref="D179:E179" si="40">SUM(D180)</f>
        <v>20.9</v>
      </c>
      <c r="E179" s="222">
        <f t="shared" si="40"/>
        <v>26</v>
      </c>
      <c r="F179" s="222">
        <f>F181</f>
        <v>27.1</v>
      </c>
      <c r="G179" s="90">
        <f t="shared" si="39"/>
        <v>1.1000000000000014</v>
      </c>
      <c r="H179" s="90">
        <f t="shared" ref="H179:H181" si="41">F179/E179*100</f>
        <v>104.23076923076924</v>
      </c>
    </row>
    <row r="180" spans="1:8" s="6" customFormat="1" ht="23.25" customHeight="1">
      <c r="A180" s="127" t="s">
        <v>229</v>
      </c>
      <c r="B180" s="44" t="s">
        <v>91</v>
      </c>
      <c r="C180" s="166">
        <v>1011</v>
      </c>
      <c r="D180" s="223">
        <f>SUM(D181)</f>
        <v>20.9</v>
      </c>
      <c r="E180" s="223">
        <f>SUM(E181)</f>
        <v>26</v>
      </c>
      <c r="F180" s="223">
        <f>SUM(F181)</f>
        <v>27.1</v>
      </c>
      <c r="G180" s="16">
        <f t="shared" si="39"/>
        <v>1.1000000000000014</v>
      </c>
      <c r="H180" s="16">
        <f t="shared" si="41"/>
        <v>104.23076923076924</v>
      </c>
    </row>
    <row r="181" spans="1:8" ht="76.5" customHeight="1">
      <c r="A181" s="124"/>
      <c r="B181" s="45" t="s">
        <v>332</v>
      </c>
      <c r="C181" s="114"/>
      <c r="D181" s="36">
        <v>20.9</v>
      </c>
      <c r="E181" s="36">
        <v>26</v>
      </c>
      <c r="F181" s="36">
        <v>27.1</v>
      </c>
      <c r="G181" s="14">
        <f t="shared" si="39"/>
        <v>1.1000000000000014</v>
      </c>
      <c r="H181" s="14">
        <f t="shared" si="41"/>
        <v>104.23076923076924</v>
      </c>
    </row>
    <row r="182" spans="1:8">
      <c r="A182" s="124" t="s">
        <v>308</v>
      </c>
      <c r="B182" s="35" t="s">
        <v>81</v>
      </c>
      <c r="C182" s="119">
        <v>1015</v>
      </c>
      <c r="D182" s="36"/>
      <c r="E182" s="38">
        <v>20</v>
      </c>
      <c r="F182" s="38">
        <f>F183+F184</f>
        <v>2.5</v>
      </c>
      <c r="G182" s="14">
        <f t="shared" ref="G182:G184" si="42">F182-E182</f>
        <v>-17.5</v>
      </c>
      <c r="H182" s="14">
        <f t="shared" ref="H182:H184" si="43">F182/E182*100</f>
        <v>12.5</v>
      </c>
    </row>
    <row r="183" spans="1:8" ht="56.25">
      <c r="A183" s="124"/>
      <c r="B183" s="20" t="s">
        <v>316</v>
      </c>
      <c r="C183" s="114"/>
      <c r="D183" s="36"/>
      <c r="E183" s="36">
        <v>20</v>
      </c>
      <c r="F183" s="36">
        <v>1.5</v>
      </c>
      <c r="G183" s="14">
        <f t="shared" si="42"/>
        <v>-18.5</v>
      </c>
      <c r="H183" s="14">
        <f t="shared" si="43"/>
        <v>7.5</v>
      </c>
    </row>
    <row r="184" spans="1:8" ht="57.75" customHeight="1">
      <c r="A184" s="124"/>
      <c r="B184" s="20" t="s">
        <v>319</v>
      </c>
      <c r="C184" s="114"/>
      <c r="D184" s="36"/>
      <c r="E184" s="36"/>
      <c r="F184" s="36">
        <v>1</v>
      </c>
      <c r="G184" s="14">
        <f t="shared" si="42"/>
        <v>1</v>
      </c>
      <c r="H184" s="76" t="e">
        <f t="shared" si="43"/>
        <v>#DIV/0!</v>
      </c>
    </row>
    <row r="185" spans="1:8" ht="26.25" customHeight="1">
      <c r="A185" s="126" t="s">
        <v>194</v>
      </c>
      <c r="B185" s="27" t="s">
        <v>77</v>
      </c>
      <c r="C185" s="164">
        <v>1020</v>
      </c>
      <c r="D185" s="222">
        <v>2.1</v>
      </c>
      <c r="E185" s="222">
        <v>2.6</v>
      </c>
      <c r="F185" s="222">
        <v>1.5</v>
      </c>
      <c r="G185" s="90">
        <f t="shared" si="39"/>
        <v>-1.1000000000000001</v>
      </c>
      <c r="H185" s="161"/>
    </row>
    <row r="186" spans="1:8" ht="18" customHeight="1">
      <c r="A186" s="126" t="s">
        <v>244</v>
      </c>
      <c r="B186" s="93" t="s">
        <v>159</v>
      </c>
      <c r="C186" s="164">
        <v>1025</v>
      </c>
      <c r="D186" s="222">
        <v>2.1</v>
      </c>
      <c r="E186" s="222">
        <v>2.6</v>
      </c>
      <c r="F186" s="222">
        <v>1.5</v>
      </c>
      <c r="G186" s="14">
        <f t="shared" si="39"/>
        <v>-1.1000000000000001</v>
      </c>
      <c r="H186" s="14">
        <f t="shared" ref="H186:H189" si="44">F186/E186*100</f>
        <v>57.692307692307686</v>
      </c>
    </row>
    <row r="187" spans="1:8" ht="37.5">
      <c r="A187" s="124"/>
      <c r="B187" s="20" t="s">
        <v>162</v>
      </c>
      <c r="C187" s="114"/>
      <c r="D187" s="36">
        <v>2.1</v>
      </c>
      <c r="E187" s="36">
        <v>2.6</v>
      </c>
      <c r="F187" s="36">
        <v>1.5</v>
      </c>
      <c r="G187" s="14">
        <f t="shared" si="39"/>
        <v>-1.1000000000000001</v>
      </c>
      <c r="H187" s="14">
        <f t="shared" si="44"/>
        <v>57.692307692307686</v>
      </c>
    </row>
    <row r="188" spans="1:8" ht="42" customHeight="1">
      <c r="A188" s="123" t="s">
        <v>148</v>
      </c>
      <c r="B188" s="35" t="s">
        <v>242</v>
      </c>
      <c r="C188" s="119"/>
      <c r="D188" s="38">
        <f>D189</f>
        <v>179</v>
      </c>
      <c r="E188" s="38">
        <f>E189</f>
        <v>268.39999999999998</v>
      </c>
      <c r="F188" s="38">
        <f>F189</f>
        <v>0</v>
      </c>
      <c r="G188" s="11">
        <f t="shared" si="39"/>
        <v>-268.39999999999998</v>
      </c>
      <c r="H188" s="11">
        <f t="shared" si="44"/>
        <v>0</v>
      </c>
    </row>
    <row r="189" spans="1:8" ht="39" customHeight="1">
      <c r="A189" s="120" t="s">
        <v>312</v>
      </c>
      <c r="B189" s="27" t="s">
        <v>76</v>
      </c>
      <c r="C189" s="164">
        <v>1010</v>
      </c>
      <c r="D189" s="222">
        <f>D190+D191</f>
        <v>179</v>
      </c>
      <c r="E189" s="222">
        <f>E190+E191</f>
        <v>268.39999999999998</v>
      </c>
      <c r="F189" s="222">
        <f>F190+F191</f>
        <v>0</v>
      </c>
      <c r="G189" s="11">
        <f t="shared" si="39"/>
        <v>-268.39999999999998</v>
      </c>
      <c r="H189" s="11">
        <f t="shared" si="44"/>
        <v>0</v>
      </c>
    </row>
    <row r="190" spans="1:8" ht="18" customHeight="1">
      <c r="A190" s="127" t="s">
        <v>313</v>
      </c>
      <c r="B190" s="44" t="s">
        <v>1</v>
      </c>
      <c r="C190" s="166">
        <v>1012</v>
      </c>
      <c r="D190" s="223">
        <v>146.69999999999999</v>
      </c>
      <c r="E190" s="223">
        <v>220</v>
      </c>
      <c r="F190" s="223"/>
      <c r="G190" s="14">
        <f t="shared" ref="G190:G192" si="45">F190-E190</f>
        <v>-220</v>
      </c>
      <c r="H190" s="14">
        <f t="shared" ref="H190:H191" si="46">F190/E190*100</f>
        <v>0</v>
      </c>
    </row>
    <row r="191" spans="1:8" ht="24.75" customHeight="1">
      <c r="A191" s="127" t="s">
        <v>301</v>
      </c>
      <c r="B191" s="44" t="s">
        <v>2</v>
      </c>
      <c r="C191" s="166">
        <v>1013</v>
      </c>
      <c r="D191" s="223">
        <v>32.299999999999997</v>
      </c>
      <c r="E191" s="223">
        <v>48.4</v>
      </c>
      <c r="F191" s="223"/>
      <c r="G191" s="14">
        <f t="shared" si="45"/>
        <v>-48.4</v>
      </c>
      <c r="H191" s="14">
        <f t="shared" si="46"/>
        <v>0</v>
      </c>
    </row>
    <row r="192" spans="1:8" ht="37.5">
      <c r="A192" s="124" t="s">
        <v>302</v>
      </c>
      <c r="B192" s="35" t="s">
        <v>243</v>
      </c>
      <c r="C192" s="114"/>
      <c r="D192" s="38">
        <f>SUM(D193,D195)</f>
        <v>1580.5</v>
      </c>
      <c r="E192" s="38">
        <f t="shared" ref="E192:F192" si="47">SUM(E193,E195)</f>
        <v>6000</v>
      </c>
      <c r="F192" s="38">
        <f t="shared" si="47"/>
        <v>11193.6</v>
      </c>
      <c r="G192" s="11">
        <f t="shared" si="45"/>
        <v>5193.6000000000004</v>
      </c>
      <c r="H192" s="11">
        <f t="shared" ref="H192:H194" si="48">(F192/E192)*100</f>
        <v>186.56</v>
      </c>
    </row>
    <row r="193" spans="1:8" ht="38.25" customHeight="1">
      <c r="A193" s="126" t="s">
        <v>303</v>
      </c>
      <c r="B193" s="27" t="s">
        <v>76</v>
      </c>
      <c r="C193" s="164">
        <v>1010</v>
      </c>
      <c r="D193" s="222">
        <f>D194</f>
        <v>1580.5</v>
      </c>
      <c r="E193" s="222">
        <f>E194</f>
        <v>4000</v>
      </c>
      <c r="F193" s="222">
        <f>F194</f>
        <v>9876.4</v>
      </c>
      <c r="G193" s="90">
        <f t="shared" si="39"/>
        <v>5876.4</v>
      </c>
      <c r="H193" s="90">
        <f t="shared" si="48"/>
        <v>246.91</v>
      </c>
    </row>
    <row r="194" spans="1:8" ht="20.25" customHeight="1">
      <c r="A194" s="127"/>
      <c r="B194" s="44" t="s">
        <v>260</v>
      </c>
      <c r="C194" s="166">
        <v>1014</v>
      </c>
      <c r="D194" s="223">
        <v>1580.5</v>
      </c>
      <c r="E194" s="223">
        <v>4000</v>
      </c>
      <c r="F194" s="223">
        <v>9876.4</v>
      </c>
      <c r="G194" s="16">
        <f t="shared" si="39"/>
        <v>5876.4</v>
      </c>
      <c r="H194" s="16">
        <f t="shared" si="48"/>
        <v>246.91</v>
      </c>
    </row>
    <row r="195" spans="1:8" ht="21" customHeight="1">
      <c r="A195" s="126" t="s">
        <v>304</v>
      </c>
      <c r="B195" s="94" t="s">
        <v>10</v>
      </c>
      <c r="C195" s="164">
        <v>1030</v>
      </c>
      <c r="D195" s="222">
        <f>SUM(D196)</f>
        <v>0</v>
      </c>
      <c r="E195" s="222">
        <f t="shared" ref="E195:F195" si="49">SUM(E196)</f>
        <v>2000</v>
      </c>
      <c r="F195" s="222">
        <f t="shared" si="49"/>
        <v>1317.2</v>
      </c>
      <c r="G195" s="90">
        <f t="shared" ref="G195:G196" si="50">F195-E195</f>
        <v>-682.8</v>
      </c>
      <c r="H195" s="90"/>
    </row>
    <row r="196" spans="1:8" ht="16.5" customHeight="1">
      <c r="A196" s="127"/>
      <c r="B196" s="44" t="s">
        <v>331</v>
      </c>
      <c r="C196" s="166">
        <v>1034</v>
      </c>
      <c r="D196" s="223"/>
      <c r="E196" s="223">
        <v>2000</v>
      </c>
      <c r="F196" s="223">
        <v>1317.2</v>
      </c>
      <c r="G196" s="16">
        <f t="shared" si="50"/>
        <v>-682.8</v>
      </c>
      <c r="H196" s="16"/>
    </row>
    <row r="197" spans="1:8" ht="84" customHeight="1">
      <c r="B197" s="278" t="s">
        <v>141</v>
      </c>
      <c r="C197" s="278"/>
      <c r="D197" s="276"/>
      <c r="E197" s="276"/>
      <c r="F197" s="234"/>
      <c r="G197" s="278" t="s">
        <v>142</v>
      </c>
      <c r="H197" s="278"/>
    </row>
    <row r="198" spans="1:8">
      <c r="B198" s="212" t="s">
        <v>54</v>
      </c>
      <c r="C198" s="62"/>
      <c r="D198" s="291" t="s">
        <v>9</v>
      </c>
      <c r="E198" s="291"/>
      <c r="F198" s="235"/>
      <c r="G198" s="292" t="s">
        <v>14</v>
      </c>
      <c r="H198" s="292"/>
    </row>
    <row r="199" spans="1:8">
      <c r="B199" s="7"/>
    </row>
    <row r="200" spans="1:8">
      <c r="B200" s="7"/>
      <c r="C200" s="65"/>
      <c r="D200" s="5"/>
      <c r="E200" s="5"/>
      <c r="F200" s="5"/>
    </row>
    <row r="201" spans="1:8">
      <c r="B201" s="7"/>
      <c r="C201" s="65"/>
      <c r="D201" s="5"/>
      <c r="E201" s="5"/>
      <c r="F201" s="5"/>
    </row>
    <row r="202" spans="1:8">
      <c r="B202" s="7"/>
      <c r="C202" s="65"/>
      <c r="D202" s="5"/>
      <c r="E202" s="5"/>
      <c r="F202" s="5"/>
    </row>
    <row r="203" spans="1:8">
      <c r="B203" s="7"/>
      <c r="C203" s="65"/>
      <c r="D203" s="5"/>
      <c r="E203" s="5"/>
      <c r="F203" s="5"/>
    </row>
    <row r="204" spans="1:8">
      <c r="B204" s="7"/>
      <c r="C204" s="65"/>
      <c r="D204" s="5"/>
      <c r="E204" s="5"/>
      <c r="F204" s="5"/>
    </row>
    <row r="205" spans="1:8">
      <c r="B205" s="7"/>
      <c r="C205" s="65"/>
      <c r="D205" s="5"/>
      <c r="E205" s="5"/>
      <c r="F205" s="5"/>
    </row>
    <row r="206" spans="1:8">
      <c r="B206" s="7"/>
      <c r="C206" s="65"/>
      <c r="D206" s="5"/>
      <c r="E206" s="5"/>
      <c r="F206" s="5"/>
    </row>
    <row r="207" spans="1:8">
      <c r="B207" s="7"/>
      <c r="C207" s="65"/>
      <c r="D207" s="5"/>
      <c r="E207" s="5"/>
      <c r="F207" s="5"/>
    </row>
    <row r="208" spans="1:8">
      <c r="B208" s="7"/>
      <c r="C208" s="65"/>
      <c r="D208" s="5"/>
      <c r="E208" s="5"/>
      <c r="F208" s="5"/>
    </row>
    <row r="209" spans="2:6">
      <c r="B209" s="7"/>
      <c r="C209" s="65"/>
      <c r="D209" s="5"/>
      <c r="E209" s="5"/>
      <c r="F209" s="5"/>
    </row>
    <row r="210" spans="2:6">
      <c r="B210" s="7"/>
      <c r="C210" s="65"/>
      <c r="D210" s="5"/>
      <c r="E210" s="5"/>
      <c r="F210" s="5"/>
    </row>
    <row r="211" spans="2:6">
      <c r="B211" s="7"/>
      <c r="C211" s="65"/>
      <c r="D211" s="5"/>
      <c r="E211" s="5"/>
      <c r="F211" s="5"/>
    </row>
    <row r="212" spans="2:6">
      <c r="B212" s="7"/>
      <c r="C212" s="65"/>
      <c r="D212" s="5"/>
      <c r="E212" s="5"/>
      <c r="F212" s="5"/>
    </row>
    <row r="213" spans="2:6">
      <c r="B213" s="7"/>
      <c r="C213" s="65"/>
      <c r="D213" s="5"/>
      <c r="E213" s="5"/>
      <c r="F213" s="5"/>
    </row>
    <row r="214" spans="2:6">
      <c r="B214" s="7"/>
      <c r="C214" s="65"/>
      <c r="D214" s="5"/>
      <c r="E214" s="5"/>
      <c r="F214" s="5"/>
    </row>
    <row r="215" spans="2:6">
      <c r="B215" s="7"/>
      <c r="C215" s="65"/>
      <c r="D215" s="5"/>
      <c r="E215" s="5"/>
      <c r="F215" s="5"/>
    </row>
    <row r="216" spans="2:6">
      <c r="B216" s="7"/>
      <c r="C216" s="65"/>
      <c r="D216" s="5"/>
      <c r="E216" s="5"/>
      <c r="F216" s="5"/>
    </row>
    <row r="217" spans="2:6">
      <c r="B217" s="7"/>
      <c r="C217" s="65"/>
      <c r="D217" s="5"/>
      <c r="E217" s="5"/>
      <c r="F217" s="5"/>
    </row>
    <row r="218" spans="2:6">
      <c r="B218" s="7"/>
      <c r="C218" s="65"/>
      <c r="D218" s="5"/>
      <c r="E218" s="5"/>
      <c r="F218" s="5"/>
    </row>
    <row r="219" spans="2:6">
      <c r="B219" s="7"/>
      <c r="C219" s="65"/>
      <c r="D219" s="5"/>
      <c r="E219" s="5"/>
      <c r="F219" s="5"/>
    </row>
    <row r="220" spans="2:6">
      <c r="B220" s="7"/>
      <c r="C220" s="65"/>
      <c r="D220" s="5"/>
      <c r="E220" s="5"/>
      <c r="F220" s="5"/>
    </row>
    <row r="221" spans="2:6">
      <c r="B221" s="7"/>
      <c r="C221" s="65"/>
      <c r="D221" s="5"/>
      <c r="E221" s="5"/>
      <c r="F221" s="5"/>
    </row>
    <row r="222" spans="2:6">
      <c r="B222" s="7"/>
      <c r="C222" s="65"/>
      <c r="D222" s="5"/>
      <c r="E222" s="5"/>
      <c r="F222" s="5"/>
    </row>
    <row r="223" spans="2:6">
      <c r="B223" s="7"/>
      <c r="C223" s="65"/>
      <c r="D223" s="5"/>
      <c r="E223" s="5"/>
      <c r="F223" s="5"/>
    </row>
    <row r="224" spans="2:6">
      <c r="B224" s="7"/>
      <c r="C224" s="65"/>
      <c r="D224" s="5"/>
      <c r="E224" s="5"/>
      <c r="F224" s="5"/>
    </row>
    <row r="225" spans="2:6">
      <c r="B225" s="7"/>
      <c r="C225" s="65"/>
      <c r="D225" s="5"/>
      <c r="E225" s="5"/>
      <c r="F225" s="5"/>
    </row>
    <row r="226" spans="2:6">
      <c r="B226" s="7"/>
      <c r="C226" s="65"/>
      <c r="D226" s="5"/>
      <c r="E226" s="5"/>
      <c r="F226" s="5"/>
    </row>
    <row r="227" spans="2:6">
      <c r="B227" s="7"/>
      <c r="C227" s="65"/>
      <c r="D227" s="5"/>
      <c r="E227" s="5"/>
      <c r="F227" s="5"/>
    </row>
    <row r="228" spans="2:6">
      <c r="B228" s="7"/>
      <c r="C228" s="65"/>
      <c r="D228" s="5"/>
      <c r="E228" s="5"/>
      <c r="F228" s="5"/>
    </row>
    <row r="229" spans="2:6">
      <c r="B229" s="7"/>
      <c r="C229" s="65"/>
      <c r="D229" s="5"/>
      <c r="E229" s="5"/>
      <c r="F229" s="5"/>
    </row>
    <row r="230" spans="2:6">
      <c r="B230" s="7"/>
      <c r="C230" s="65"/>
      <c r="D230" s="5"/>
      <c r="E230" s="5"/>
      <c r="F230" s="5"/>
    </row>
    <row r="231" spans="2:6">
      <c r="B231" s="7"/>
      <c r="C231" s="65"/>
      <c r="D231" s="5"/>
      <c r="E231" s="5"/>
      <c r="F231" s="5"/>
    </row>
    <row r="232" spans="2:6">
      <c r="B232" s="7"/>
      <c r="C232" s="65"/>
      <c r="D232" s="5"/>
      <c r="E232" s="5"/>
      <c r="F232" s="5"/>
    </row>
  </sheetData>
  <mergeCells count="7">
    <mergeCell ref="D198:E198"/>
    <mergeCell ref="G198:H198"/>
    <mergeCell ref="B1:H1"/>
    <mergeCell ref="A5:B5"/>
    <mergeCell ref="B197:C197"/>
    <mergeCell ref="D197:E197"/>
    <mergeCell ref="G197:H197"/>
  </mergeCells>
  <pageMargins left="0.59055118110236227" right="0.39370078740157483" top="0.19685039370078741" bottom="0.19685039370078741" header="0.39370078740157483" footer="0.19685039370078741"/>
  <pageSetup paperSize="9" fitToHeight="11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G48"/>
  <sheetViews>
    <sheetView view="pageBreakPreview" zoomScale="70" zoomScaleSheetLayoutView="70" workbookViewId="0">
      <selection activeCell="J9" sqref="J9"/>
    </sheetView>
  </sheetViews>
  <sheetFormatPr defaultRowHeight="18.75"/>
  <cols>
    <col min="1" max="1" width="67.42578125" style="7" customWidth="1"/>
    <col min="2" max="2" width="8.28515625" style="113" customWidth="1"/>
    <col min="3" max="3" width="11.140625" style="68" customWidth="1"/>
    <col min="4" max="4" width="9.7109375" style="190" customWidth="1"/>
    <col min="5" max="5" width="14.42578125" style="190" customWidth="1"/>
    <col min="6" max="6" width="14.28515625" style="113" customWidth="1"/>
    <col min="7" max="7" width="12.28515625" style="113" customWidth="1"/>
    <col min="8" max="8" width="9.140625" style="5"/>
    <col min="9" max="9" width="17.5703125" style="5" customWidth="1"/>
    <col min="10" max="16384" width="9.140625" style="5"/>
  </cols>
  <sheetData>
    <row r="1" spans="1:7" ht="19.5" customHeight="1">
      <c r="A1" s="275" t="s">
        <v>87</v>
      </c>
      <c r="B1" s="275"/>
      <c r="C1" s="275"/>
      <c r="D1" s="275"/>
      <c r="E1" s="275"/>
      <c r="F1" s="275"/>
      <c r="G1" s="213"/>
    </row>
    <row r="2" spans="1:7" ht="15" customHeight="1">
      <c r="A2" s="212"/>
      <c r="B2" s="212"/>
      <c r="C2" s="67"/>
      <c r="D2" s="182"/>
      <c r="E2" s="182"/>
      <c r="F2" s="212"/>
      <c r="G2" s="33" t="s">
        <v>59</v>
      </c>
    </row>
    <row r="3" spans="1:7" ht="87.75" customHeight="1">
      <c r="A3" s="12" t="s">
        <v>20</v>
      </c>
      <c r="B3" s="12" t="s">
        <v>4</v>
      </c>
      <c r="C3" s="13" t="s">
        <v>320</v>
      </c>
      <c r="D3" s="183" t="s">
        <v>321</v>
      </c>
      <c r="E3" s="184" t="s">
        <v>322</v>
      </c>
      <c r="F3" s="85" t="s">
        <v>97</v>
      </c>
      <c r="G3" s="86" t="s">
        <v>98</v>
      </c>
    </row>
    <row r="4" spans="1:7" ht="16.5" customHeight="1">
      <c r="A4" s="13">
        <v>1</v>
      </c>
      <c r="B4" s="13">
        <v>2</v>
      </c>
      <c r="C4" s="202">
        <v>3</v>
      </c>
      <c r="D4" s="186">
        <v>4</v>
      </c>
      <c r="E4" s="186">
        <v>5</v>
      </c>
      <c r="F4" s="13">
        <v>6</v>
      </c>
      <c r="G4" s="203">
        <v>7</v>
      </c>
    </row>
    <row r="5" spans="1:7" ht="20.25" customHeight="1">
      <c r="A5" s="60" t="s">
        <v>265</v>
      </c>
      <c r="B5" s="17">
        <v>4000</v>
      </c>
      <c r="C5" s="236">
        <f>C6+C44</f>
        <v>3406.7000000000003</v>
      </c>
      <c r="D5" s="191">
        <f>D6+D44</f>
        <v>0</v>
      </c>
      <c r="E5" s="191">
        <f>E6+E42+E44</f>
        <v>146087.1</v>
      </c>
      <c r="F5" s="228">
        <f t="shared" ref="F5:F41" si="0">E5-D5</f>
        <v>146087.1</v>
      </c>
      <c r="G5" s="87" t="e">
        <f>(E5/D5)*100</f>
        <v>#DIV/0!</v>
      </c>
    </row>
    <row r="6" spans="1:7" ht="36.950000000000003" customHeight="1">
      <c r="A6" s="44" t="s">
        <v>165</v>
      </c>
      <c r="B6" s="28">
        <v>4020</v>
      </c>
      <c r="C6" s="237">
        <f>SUM(C7:C12)</f>
        <v>3178.7000000000003</v>
      </c>
      <c r="D6" s="187">
        <f>SUM(D7:D9)</f>
        <v>0</v>
      </c>
      <c r="E6" s="187">
        <f>SUM(E7:E41)</f>
        <v>20883.000000000004</v>
      </c>
      <c r="F6" s="90">
        <f t="shared" si="0"/>
        <v>20883.000000000004</v>
      </c>
      <c r="G6" s="89" t="e">
        <f t="shared" ref="G6" si="1">(E6/D6)*100</f>
        <v>#DIV/0!</v>
      </c>
    </row>
    <row r="7" spans="1:7" ht="36.950000000000003" customHeight="1">
      <c r="A7" s="20" t="s">
        <v>263</v>
      </c>
      <c r="B7" s="29"/>
      <c r="C7" s="25">
        <v>151.80000000000001</v>
      </c>
      <c r="D7" s="186"/>
      <c r="E7" s="186"/>
      <c r="F7" s="14">
        <f t="shared" si="0"/>
        <v>0</v>
      </c>
      <c r="G7" s="53" t="e">
        <f>E7/D7*100</f>
        <v>#DIV/0!</v>
      </c>
    </row>
    <row r="8" spans="1:7" ht="17.850000000000001" customHeight="1">
      <c r="A8" s="20" t="s">
        <v>253</v>
      </c>
      <c r="B8" s="29"/>
      <c r="C8" s="25">
        <v>29</v>
      </c>
      <c r="D8" s="186"/>
      <c r="E8" s="186"/>
      <c r="F8" s="14">
        <f t="shared" si="0"/>
        <v>0</v>
      </c>
      <c r="G8" s="53" t="e">
        <f t="shared" ref="G8:G41" si="2">E8/D8*100</f>
        <v>#DIV/0!</v>
      </c>
    </row>
    <row r="9" spans="1:7" ht="17.850000000000001" customHeight="1">
      <c r="A9" s="20" t="s">
        <v>254</v>
      </c>
      <c r="B9" s="29"/>
      <c r="C9" s="25">
        <v>81.099999999999994</v>
      </c>
      <c r="D9" s="186"/>
      <c r="E9" s="186"/>
      <c r="F9" s="14">
        <f t="shared" si="0"/>
        <v>0</v>
      </c>
      <c r="G9" s="53" t="e">
        <f t="shared" si="2"/>
        <v>#DIV/0!</v>
      </c>
    </row>
    <row r="10" spans="1:7" ht="17.850000000000001" customHeight="1">
      <c r="A10" s="20" t="s">
        <v>261</v>
      </c>
      <c r="B10" s="29"/>
      <c r="C10" s="25">
        <v>2240</v>
      </c>
      <c r="D10" s="186"/>
      <c r="E10" s="186"/>
      <c r="F10" s="14">
        <f t="shared" si="0"/>
        <v>0</v>
      </c>
      <c r="G10" s="53" t="e">
        <f t="shared" si="2"/>
        <v>#DIV/0!</v>
      </c>
    </row>
    <row r="11" spans="1:7" ht="36" customHeight="1">
      <c r="A11" s="20" t="s">
        <v>262</v>
      </c>
      <c r="B11" s="29"/>
      <c r="C11" s="25">
        <v>648.9</v>
      </c>
      <c r="D11" s="186"/>
      <c r="E11" s="186"/>
      <c r="F11" s="14">
        <f t="shared" si="0"/>
        <v>0</v>
      </c>
      <c r="G11" s="53" t="e">
        <f t="shared" si="2"/>
        <v>#DIV/0!</v>
      </c>
    </row>
    <row r="12" spans="1:7" ht="17.850000000000001" customHeight="1">
      <c r="A12" s="20" t="s">
        <v>264</v>
      </c>
      <c r="B12" s="29"/>
      <c r="C12" s="25">
        <v>27.9</v>
      </c>
      <c r="D12" s="186"/>
      <c r="E12" s="186"/>
      <c r="F12" s="14">
        <f t="shared" si="0"/>
        <v>0</v>
      </c>
      <c r="G12" s="53" t="e">
        <f t="shared" si="2"/>
        <v>#DIV/0!</v>
      </c>
    </row>
    <row r="13" spans="1:7" ht="17.850000000000001" customHeight="1">
      <c r="A13" s="20" t="s">
        <v>349</v>
      </c>
      <c r="B13" s="52"/>
      <c r="C13" s="25"/>
      <c r="D13" s="186"/>
      <c r="E13" s="184">
        <v>3200</v>
      </c>
      <c r="F13" s="14">
        <f t="shared" si="0"/>
        <v>3200</v>
      </c>
      <c r="G13" s="53" t="e">
        <f t="shared" si="2"/>
        <v>#DIV/0!</v>
      </c>
    </row>
    <row r="14" spans="1:7" ht="59.25" customHeight="1">
      <c r="A14" s="20" t="s">
        <v>341</v>
      </c>
      <c r="B14" s="52"/>
      <c r="C14" s="25"/>
      <c r="D14" s="186"/>
      <c r="E14" s="184">
        <v>310.8</v>
      </c>
      <c r="F14" s="14">
        <f t="shared" si="0"/>
        <v>310.8</v>
      </c>
      <c r="G14" s="53" t="e">
        <f t="shared" si="2"/>
        <v>#DIV/0!</v>
      </c>
    </row>
    <row r="15" spans="1:7" ht="17.850000000000001" customHeight="1">
      <c r="A15" s="20" t="s">
        <v>342</v>
      </c>
      <c r="B15" s="52"/>
      <c r="C15" s="25"/>
      <c r="D15" s="186"/>
      <c r="E15" s="184">
        <v>2400</v>
      </c>
      <c r="F15" s="14">
        <f t="shared" si="0"/>
        <v>2400</v>
      </c>
      <c r="G15" s="53" t="e">
        <f t="shared" si="2"/>
        <v>#DIV/0!</v>
      </c>
    </row>
    <row r="16" spans="1:7" ht="17.850000000000001" customHeight="1">
      <c r="A16" s="20" t="s">
        <v>343</v>
      </c>
      <c r="B16" s="52"/>
      <c r="C16" s="25"/>
      <c r="D16" s="186"/>
      <c r="E16" s="184">
        <v>55</v>
      </c>
      <c r="F16" s="14">
        <f t="shared" si="0"/>
        <v>55</v>
      </c>
      <c r="G16" s="53" t="e">
        <f t="shared" si="2"/>
        <v>#DIV/0!</v>
      </c>
    </row>
    <row r="17" spans="1:7" ht="37.5" customHeight="1">
      <c r="A17" s="20" t="s">
        <v>344</v>
      </c>
      <c r="B17" s="52"/>
      <c r="C17" s="25"/>
      <c r="D17" s="186"/>
      <c r="E17" s="184">
        <v>74.5</v>
      </c>
      <c r="F17" s="14">
        <f t="shared" si="0"/>
        <v>74.5</v>
      </c>
      <c r="G17" s="53" t="e">
        <f t="shared" si="2"/>
        <v>#DIV/0!</v>
      </c>
    </row>
    <row r="18" spans="1:7" ht="39" customHeight="1">
      <c r="A18" s="20" t="s">
        <v>348</v>
      </c>
      <c r="B18" s="52"/>
      <c r="C18" s="25"/>
      <c r="D18" s="186"/>
      <c r="E18" s="186">
        <v>998.6</v>
      </c>
      <c r="F18" s="14">
        <f t="shared" si="0"/>
        <v>998.6</v>
      </c>
      <c r="G18" s="53" t="e">
        <f t="shared" si="2"/>
        <v>#DIV/0!</v>
      </c>
    </row>
    <row r="19" spans="1:7" ht="37.5" customHeight="1">
      <c r="A19" s="20" t="s">
        <v>346</v>
      </c>
      <c r="B19" s="52"/>
      <c r="C19" s="25"/>
      <c r="D19" s="186"/>
      <c r="E19" s="186">
        <v>109.5</v>
      </c>
      <c r="F19" s="14">
        <f t="shared" si="0"/>
        <v>109.5</v>
      </c>
      <c r="G19" s="53" t="e">
        <f t="shared" si="2"/>
        <v>#DIV/0!</v>
      </c>
    </row>
    <row r="20" spans="1:7" ht="36.75" customHeight="1">
      <c r="A20" s="39" t="s">
        <v>347</v>
      </c>
      <c r="B20" s="52"/>
      <c r="C20" s="25"/>
      <c r="D20" s="186"/>
      <c r="E20" s="186">
        <v>22.5</v>
      </c>
      <c r="F20" s="14">
        <f t="shared" si="0"/>
        <v>22.5</v>
      </c>
      <c r="G20" s="53" t="e">
        <f t="shared" si="2"/>
        <v>#DIV/0!</v>
      </c>
    </row>
    <row r="21" spans="1:7" ht="17.25" customHeight="1">
      <c r="A21" s="20" t="s">
        <v>345</v>
      </c>
      <c r="B21" s="52"/>
      <c r="C21" s="25"/>
      <c r="D21" s="186"/>
      <c r="E21" s="184">
        <v>42.9</v>
      </c>
      <c r="F21" s="14">
        <f t="shared" si="0"/>
        <v>42.9</v>
      </c>
      <c r="G21" s="53" t="e">
        <f t="shared" si="2"/>
        <v>#DIV/0!</v>
      </c>
    </row>
    <row r="22" spans="1:7" ht="17.25" customHeight="1">
      <c r="A22" s="196" t="s">
        <v>350</v>
      </c>
      <c r="B22" s="52"/>
      <c r="C22" s="25"/>
      <c r="D22" s="186"/>
      <c r="E22" s="242">
        <v>3567.6</v>
      </c>
      <c r="F22" s="14">
        <f t="shared" si="0"/>
        <v>3567.6</v>
      </c>
      <c r="G22" s="53" t="e">
        <f t="shared" si="2"/>
        <v>#DIV/0!</v>
      </c>
    </row>
    <row r="23" spans="1:7" ht="17.25" customHeight="1">
      <c r="A23" s="196" t="s">
        <v>351</v>
      </c>
      <c r="B23" s="52"/>
      <c r="C23" s="25"/>
      <c r="D23" s="186"/>
      <c r="E23" s="242">
        <v>1045.5</v>
      </c>
      <c r="F23" s="14">
        <f t="shared" si="0"/>
        <v>1045.5</v>
      </c>
      <c r="G23" s="53" t="e">
        <f t="shared" si="2"/>
        <v>#DIV/0!</v>
      </c>
    </row>
    <row r="24" spans="1:7" ht="17.25" customHeight="1">
      <c r="A24" s="196" t="s">
        <v>352</v>
      </c>
      <c r="B24" s="52"/>
      <c r="C24" s="25"/>
      <c r="D24" s="186"/>
      <c r="E24" s="242">
        <v>106.5</v>
      </c>
      <c r="F24" s="14">
        <f t="shared" si="0"/>
        <v>106.5</v>
      </c>
      <c r="G24" s="53" t="e">
        <f t="shared" si="2"/>
        <v>#DIV/0!</v>
      </c>
    </row>
    <row r="25" spans="1:7" ht="17.25" customHeight="1">
      <c r="A25" s="196" t="s">
        <v>353</v>
      </c>
      <c r="B25" s="52"/>
      <c r="C25" s="25"/>
      <c r="D25" s="186"/>
      <c r="E25" s="242">
        <v>1213.7</v>
      </c>
      <c r="F25" s="14">
        <f t="shared" si="0"/>
        <v>1213.7</v>
      </c>
      <c r="G25" s="53" t="e">
        <f t="shared" si="2"/>
        <v>#DIV/0!</v>
      </c>
    </row>
    <row r="26" spans="1:7" ht="17.25" customHeight="1">
      <c r="A26" s="196" t="s">
        <v>354</v>
      </c>
      <c r="B26" s="52"/>
      <c r="C26" s="25"/>
      <c r="D26" s="186"/>
      <c r="E26" s="242">
        <v>378</v>
      </c>
      <c r="F26" s="14">
        <f t="shared" si="0"/>
        <v>378</v>
      </c>
      <c r="G26" s="53" t="e">
        <f t="shared" si="2"/>
        <v>#DIV/0!</v>
      </c>
    </row>
    <row r="27" spans="1:7" ht="17.25" customHeight="1">
      <c r="A27" s="196" t="s">
        <v>355</v>
      </c>
      <c r="B27" s="52"/>
      <c r="C27" s="25"/>
      <c r="D27" s="186"/>
      <c r="E27" s="242">
        <v>432</v>
      </c>
      <c r="F27" s="14">
        <f t="shared" si="0"/>
        <v>432</v>
      </c>
      <c r="G27" s="53" t="e">
        <f t="shared" si="2"/>
        <v>#DIV/0!</v>
      </c>
    </row>
    <row r="28" spans="1:7" ht="17.25" customHeight="1">
      <c r="A28" s="196" t="s">
        <v>356</v>
      </c>
      <c r="B28" s="52"/>
      <c r="C28" s="25"/>
      <c r="D28" s="186"/>
      <c r="E28" s="242">
        <v>34</v>
      </c>
      <c r="F28" s="14">
        <f t="shared" si="0"/>
        <v>34</v>
      </c>
      <c r="G28" s="53" t="e">
        <f t="shared" si="2"/>
        <v>#DIV/0!</v>
      </c>
    </row>
    <row r="29" spans="1:7" ht="17.25" customHeight="1">
      <c r="A29" s="196" t="s">
        <v>357</v>
      </c>
      <c r="B29" s="52"/>
      <c r="C29" s="25"/>
      <c r="D29" s="186"/>
      <c r="E29" s="242">
        <v>151</v>
      </c>
      <c r="F29" s="14">
        <f t="shared" si="0"/>
        <v>151</v>
      </c>
      <c r="G29" s="53" t="e">
        <f t="shared" si="2"/>
        <v>#DIV/0!</v>
      </c>
    </row>
    <row r="30" spans="1:7" ht="17.25" customHeight="1">
      <c r="A30" s="196" t="s">
        <v>358</v>
      </c>
      <c r="B30" s="52"/>
      <c r="C30" s="25"/>
      <c r="D30" s="186"/>
      <c r="E30" s="242">
        <v>294.8</v>
      </c>
      <c r="F30" s="14">
        <f t="shared" si="0"/>
        <v>294.8</v>
      </c>
      <c r="G30" s="53" t="e">
        <f t="shared" si="2"/>
        <v>#DIV/0!</v>
      </c>
    </row>
    <row r="31" spans="1:7" ht="17.25" customHeight="1">
      <c r="A31" s="196" t="s">
        <v>359</v>
      </c>
      <c r="B31" s="52"/>
      <c r="C31" s="25"/>
      <c r="D31" s="186"/>
      <c r="E31" s="242">
        <v>50</v>
      </c>
      <c r="F31" s="14">
        <f t="shared" si="0"/>
        <v>50</v>
      </c>
      <c r="G31" s="53" t="e">
        <f t="shared" si="2"/>
        <v>#DIV/0!</v>
      </c>
    </row>
    <row r="32" spans="1:7" ht="33" customHeight="1">
      <c r="A32" s="196" t="s">
        <v>360</v>
      </c>
      <c r="B32" s="52"/>
      <c r="C32" s="25"/>
      <c r="D32" s="186"/>
      <c r="E32" s="242">
        <v>34.1</v>
      </c>
      <c r="F32" s="14">
        <f t="shared" si="0"/>
        <v>34.1</v>
      </c>
      <c r="G32" s="53" t="e">
        <f t="shared" si="2"/>
        <v>#DIV/0!</v>
      </c>
    </row>
    <row r="33" spans="1:7" ht="17.25" customHeight="1">
      <c r="A33" s="196" t="s">
        <v>361</v>
      </c>
      <c r="B33" s="52"/>
      <c r="C33" s="25"/>
      <c r="D33" s="186"/>
      <c r="E33" s="242">
        <v>53.9</v>
      </c>
      <c r="F33" s="14">
        <f t="shared" si="0"/>
        <v>53.9</v>
      </c>
      <c r="G33" s="53" t="e">
        <f t="shared" si="2"/>
        <v>#DIV/0!</v>
      </c>
    </row>
    <row r="34" spans="1:7" ht="17.25" customHeight="1">
      <c r="A34" s="196" t="s">
        <v>362</v>
      </c>
      <c r="B34" s="52"/>
      <c r="C34" s="25"/>
      <c r="D34" s="186"/>
      <c r="E34" s="242">
        <v>50</v>
      </c>
      <c r="F34" s="14">
        <f t="shared" si="0"/>
        <v>50</v>
      </c>
      <c r="G34" s="53" t="e">
        <f t="shared" si="2"/>
        <v>#DIV/0!</v>
      </c>
    </row>
    <row r="35" spans="1:7" ht="17.25" customHeight="1">
      <c r="A35" s="196" t="s">
        <v>363</v>
      </c>
      <c r="B35" s="52"/>
      <c r="C35" s="25"/>
      <c r="D35" s="186"/>
      <c r="E35" s="242">
        <v>50</v>
      </c>
      <c r="F35" s="14">
        <f t="shared" si="0"/>
        <v>50</v>
      </c>
      <c r="G35" s="53" t="e">
        <f t="shared" si="2"/>
        <v>#DIV/0!</v>
      </c>
    </row>
    <row r="36" spans="1:7" ht="17.25" customHeight="1">
      <c r="A36" s="196" t="s">
        <v>364</v>
      </c>
      <c r="B36" s="52"/>
      <c r="C36" s="25"/>
      <c r="D36" s="186"/>
      <c r="E36" s="242">
        <v>3600</v>
      </c>
      <c r="F36" s="14">
        <f t="shared" si="0"/>
        <v>3600</v>
      </c>
      <c r="G36" s="53" t="e">
        <f t="shared" si="2"/>
        <v>#DIV/0!</v>
      </c>
    </row>
    <row r="37" spans="1:7" ht="17.25" customHeight="1">
      <c r="A37" s="196" t="s">
        <v>365</v>
      </c>
      <c r="B37" s="52"/>
      <c r="C37" s="25"/>
      <c r="D37" s="186"/>
      <c r="E37" s="242">
        <v>141.69999999999999</v>
      </c>
      <c r="F37" s="14">
        <f t="shared" si="0"/>
        <v>141.69999999999999</v>
      </c>
      <c r="G37" s="53" t="e">
        <f t="shared" si="2"/>
        <v>#DIV/0!</v>
      </c>
    </row>
    <row r="38" spans="1:7" ht="17.25" customHeight="1">
      <c r="A38" s="196" t="s">
        <v>366</v>
      </c>
      <c r="B38" s="52"/>
      <c r="C38" s="25"/>
      <c r="D38" s="186"/>
      <c r="E38" s="242">
        <v>2192.9</v>
      </c>
      <c r="F38" s="14">
        <f t="shared" si="0"/>
        <v>2192.9</v>
      </c>
      <c r="G38" s="53" t="e">
        <f t="shared" si="2"/>
        <v>#DIV/0!</v>
      </c>
    </row>
    <row r="39" spans="1:7" ht="17.25" customHeight="1">
      <c r="A39" s="196" t="s">
        <v>367</v>
      </c>
      <c r="B39" s="52"/>
      <c r="C39" s="25"/>
      <c r="D39" s="186"/>
      <c r="E39" s="242">
        <v>2.1</v>
      </c>
      <c r="F39" s="14">
        <f t="shared" si="0"/>
        <v>2.1</v>
      </c>
      <c r="G39" s="53" t="e">
        <f t="shared" si="2"/>
        <v>#DIV/0!</v>
      </c>
    </row>
    <row r="40" spans="1:7" ht="17.25" customHeight="1">
      <c r="A40" s="196" t="s">
        <v>357</v>
      </c>
      <c r="B40" s="52"/>
      <c r="C40" s="25"/>
      <c r="D40" s="186"/>
      <c r="E40" s="242">
        <v>123</v>
      </c>
      <c r="F40" s="14">
        <f t="shared" si="0"/>
        <v>123</v>
      </c>
      <c r="G40" s="53" t="e">
        <f t="shared" si="2"/>
        <v>#DIV/0!</v>
      </c>
    </row>
    <row r="41" spans="1:7" ht="17.25" customHeight="1">
      <c r="A41" s="196" t="s">
        <v>368</v>
      </c>
      <c r="B41" s="52"/>
      <c r="C41" s="25"/>
      <c r="D41" s="186"/>
      <c r="E41" s="242">
        <v>148.4</v>
      </c>
      <c r="F41" s="14">
        <f t="shared" si="0"/>
        <v>148.4</v>
      </c>
      <c r="G41" s="53" t="e">
        <f t="shared" si="2"/>
        <v>#DIV/0!</v>
      </c>
    </row>
    <row r="42" spans="1:7" ht="42" customHeight="1">
      <c r="A42" s="27" t="s">
        <v>57</v>
      </c>
      <c r="B42" s="29">
        <v>4050</v>
      </c>
      <c r="C42" s="25"/>
      <c r="D42" s="186"/>
      <c r="E42" s="245">
        <v>125204.1</v>
      </c>
      <c r="F42" s="14"/>
      <c r="G42" s="53"/>
    </row>
    <row r="43" spans="1:7" ht="36.75" customHeight="1">
      <c r="A43" s="244" t="s">
        <v>377</v>
      </c>
      <c r="B43" s="29"/>
      <c r="C43" s="25"/>
      <c r="D43" s="186"/>
      <c r="E43" s="242">
        <v>125204.1</v>
      </c>
      <c r="F43" s="14"/>
      <c r="G43" s="53"/>
    </row>
    <row r="44" spans="1:7" ht="17.850000000000001" customHeight="1">
      <c r="A44" s="44" t="s">
        <v>166</v>
      </c>
      <c r="B44" s="28">
        <v>4060</v>
      </c>
      <c r="C44" s="238">
        <f>C45+C46</f>
        <v>228</v>
      </c>
      <c r="D44" s="187">
        <f>D45+D46</f>
        <v>0</v>
      </c>
      <c r="E44" s="187">
        <f>E45+E46</f>
        <v>0</v>
      </c>
      <c r="F44" s="14">
        <f t="shared" ref="F44:F46" si="3">E44-D44</f>
        <v>0</v>
      </c>
      <c r="G44" s="91"/>
    </row>
    <row r="45" spans="1:7" ht="21.75" customHeight="1">
      <c r="A45" s="20" t="s">
        <v>167</v>
      </c>
      <c r="B45" s="92"/>
      <c r="C45" s="25"/>
      <c r="D45" s="186"/>
      <c r="E45" s="186"/>
      <c r="F45" s="14">
        <f t="shared" si="3"/>
        <v>0</v>
      </c>
      <c r="G45" s="53"/>
    </row>
    <row r="46" spans="1:7" ht="33.75" customHeight="1">
      <c r="A46" s="20" t="s">
        <v>168</v>
      </c>
      <c r="B46" s="52"/>
      <c r="C46" s="25">
        <v>228</v>
      </c>
      <c r="D46" s="186"/>
      <c r="E46" s="186"/>
      <c r="F46" s="14">
        <f t="shared" si="3"/>
        <v>0</v>
      </c>
      <c r="G46" s="53"/>
    </row>
    <row r="47" spans="1:7" ht="107.25" customHeight="1">
      <c r="A47" s="278" t="s">
        <v>141</v>
      </c>
      <c r="B47" s="278"/>
      <c r="C47" s="70"/>
      <c r="D47" s="188"/>
      <c r="E47" s="189"/>
      <c r="F47" s="69" t="s">
        <v>142</v>
      </c>
      <c r="G47" s="33"/>
    </row>
    <row r="48" spans="1:7" ht="16.5" customHeight="1">
      <c r="A48" s="195" t="s">
        <v>8</v>
      </c>
      <c r="B48" s="213"/>
      <c r="C48" s="293" t="s">
        <v>9</v>
      </c>
      <c r="D48" s="293"/>
      <c r="E48" s="294" t="s">
        <v>14</v>
      </c>
      <c r="F48" s="294"/>
      <c r="G48" s="294"/>
    </row>
  </sheetData>
  <mergeCells count="4">
    <mergeCell ref="A1:F1"/>
    <mergeCell ref="A47:B47"/>
    <mergeCell ref="C48:D48"/>
    <mergeCell ref="E48:G48"/>
  </mergeCells>
  <pageMargins left="0.98425196850393704" right="0.39370078740157483" top="0.78740157480314965" bottom="0.59055118110236227" header="0.19685039370078741" footer="0.19685039370078741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N46"/>
  <sheetViews>
    <sheetView view="pageBreakPreview" topLeftCell="G1" zoomScaleNormal="60" zoomScaleSheetLayoutView="100" workbookViewId="0">
      <selection activeCell="B16" sqref="B16"/>
    </sheetView>
  </sheetViews>
  <sheetFormatPr defaultRowHeight="20.25"/>
  <cols>
    <col min="1" max="1" width="3.5703125" style="71" customWidth="1"/>
    <col min="2" max="2" width="36.28515625" style="71" customWidth="1"/>
    <col min="3" max="3" width="9.5703125" style="71" customWidth="1"/>
    <col min="4" max="4" width="10.42578125" style="71" customWidth="1"/>
    <col min="5" max="5" width="11.5703125" style="71" customWidth="1"/>
    <col min="6" max="6" width="11.7109375" style="71" customWidth="1"/>
    <col min="7" max="7" width="10" style="71" customWidth="1"/>
    <col min="8" max="8" width="13.140625" style="34" customWidth="1"/>
    <col min="9" max="9" width="11.5703125" style="71" customWidth="1"/>
    <col min="10" max="11" width="12.42578125" style="71" customWidth="1"/>
    <col min="12" max="12" width="12.140625" style="71" customWidth="1"/>
    <col min="13" max="13" width="12.28515625" style="71" customWidth="1"/>
    <col min="14" max="14" width="12" style="71" customWidth="1"/>
    <col min="15" max="16" width="9.140625" style="3"/>
    <col min="17" max="19" width="9.140625" style="3" customWidth="1"/>
    <col min="20" max="16384" width="9.140625" style="3"/>
  </cols>
  <sheetData>
    <row r="1" spans="1:14" s="8" customFormat="1" ht="32.25" customHeight="1">
      <c r="A1" s="262" t="s">
        <v>150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72"/>
    </row>
    <row r="2" spans="1:14">
      <c r="A2" s="103"/>
      <c r="B2" s="103"/>
      <c r="C2" s="73"/>
      <c r="D2" s="73"/>
      <c r="E2" s="73"/>
      <c r="F2" s="73"/>
      <c r="N2" s="104" t="s">
        <v>45</v>
      </c>
    </row>
    <row r="3" spans="1:14" ht="48" customHeight="1">
      <c r="A3" s="298" t="s">
        <v>6</v>
      </c>
      <c r="B3" s="304" t="s">
        <v>17</v>
      </c>
      <c r="C3" s="300" t="s">
        <v>106</v>
      </c>
      <c r="D3" s="301"/>
      <c r="E3" s="300" t="s">
        <v>247</v>
      </c>
      <c r="F3" s="301"/>
      <c r="G3" s="300" t="s">
        <v>107</v>
      </c>
      <c r="H3" s="301"/>
      <c r="I3" s="300" t="s">
        <v>248</v>
      </c>
      <c r="J3" s="301"/>
      <c r="K3" s="300" t="s">
        <v>108</v>
      </c>
      <c r="L3" s="301"/>
      <c r="M3" s="301"/>
      <c r="N3" s="302"/>
    </row>
    <row r="4" spans="1:14" ht="81" customHeight="1">
      <c r="A4" s="299"/>
      <c r="B4" s="305"/>
      <c r="C4" s="12" t="s">
        <v>321</v>
      </c>
      <c r="D4" s="13" t="s">
        <v>323</v>
      </c>
      <c r="E4" s="12" t="s">
        <v>321</v>
      </c>
      <c r="F4" s="13" t="s">
        <v>323</v>
      </c>
      <c r="G4" s="12" t="s">
        <v>321</v>
      </c>
      <c r="H4" s="13" t="s">
        <v>323</v>
      </c>
      <c r="I4" s="12" t="s">
        <v>321</v>
      </c>
      <c r="J4" s="13" t="s">
        <v>323</v>
      </c>
      <c r="K4" s="159" t="s">
        <v>321</v>
      </c>
      <c r="L4" s="13" t="s">
        <v>323</v>
      </c>
      <c r="M4" s="75" t="s">
        <v>94</v>
      </c>
      <c r="N4" s="75" t="s">
        <v>96</v>
      </c>
    </row>
    <row r="5" spans="1:14" ht="16.5" customHeight="1">
      <c r="A5" s="75">
        <v>1</v>
      </c>
      <c r="B5" s="181">
        <v>2</v>
      </c>
      <c r="C5" s="19">
        <v>3</v>
      </c>
      <c r="D5" s="75">
        <v>4</v>
      </c>
      <c r="E5" s="19">
        <v>5</v>
      </c>
      <c r="F5" s="75">
        <v>6</v>
      </c>
      <c r="G5" s="19">
        <v>7</v>
      </c>
      <c r="H5" s="75">
        <v>8</v>
      </c>
      <c r="I5" s="19">
        <v>9</v>
      </c>
      <c r="J5" s="19">
        <v>10</v>
      </c>
      <c r="K5" s="19">
        <v>11</v>
      </c>
      <c r="L5" s="19">
        <v>12</v>
      </c>
      <c r="M5" s="19">
        <v>13</v>
      </c>
      <c r="N5" s="19">
        <v>14</v>
      </c>
    </row>
    <row r="6" spans="1:14" ht="34.5" customHeight="1">
      <c r="A6" s="105">
        <v>1</v>
      </c>
      <c r="B6" s="106" t="s">
        <v>79</v>
      </c>
      <c r="C6" s="199">
        <f>SUM(C12:C36)</f>
        <v>0</v>
      </c>
      <c r="D6" s="199">
        <f>SUM(D12:D36)</f>
        <v>0</v>
      </c>
      <c r="E6" s="199">
        <f>SUM(E12:E36)</f>
        <v>0</v>
      </c>
      <c r="F6" s="198">
        <f>SUM(F12:F36)</f>
        <v>125204.1</v>
      </c>
      <c r="G6" s="199">
        <f>SUM(G12:G36)</f>
        <v>0</v>
      </c>
      <c r="H6" s="198">
        <f>SUM(H7:H36)</f>
        <v>13712.1</v>
      </c>
      <c r="I6" s="199">
        <f>SUM(I12:I36)</f>
        <v>0</v>
      </c>
      <c r="J6" s="198">
        <f>SUM(J7:J36)</f>
        <v>7170.9000000000005</v>
      </c>
      <c r="K6" s="199"/>
      <c r="L6" s="198">
        <f>SUM(D6,F6,H6,J6)</f>
        <v>146087.1</v>
      </c>
      <c r="M6" s="199">
        <f>L6-K6</f>
        <v>146087.1</v>
      </c>
      <c r="N6" s="199" t="e">
        <f>L6/K6*100</f>
        <v>#DIV/0!</v>
      </c>
    </row>
    <row r="7" spans="1:14" ht="32.25" customHeight="1">
      <c r="A7" s="105"/>
      <c r="B7" s="192" t="s">
        <v>340</v>
      </c>
      <c r="C7" s="199"/>
      <c r="D7" s="199"/>
      <c r="E7" s="199"/>
      <c r="F7" s="199"/>
      <c r="G7" s="199"/>
      <c r="H7" s="199"/>
      <c r="I7" s="199"/>
      <c r="J7" s="194">
        <v>3200</v>
      </c>
      <c r="K7" s="199"/>
      <c r="L7" s="239">
        <f>D7+F7+H7+J7</f>
        <v>3200</v>
      </c>
      <c r="M7" s="239">
        <f t="shared" ref="M7:M36" si="0">L7-K7</f>
        <v>3200</v>
      </c>
      <c r="N7" s="239" t="e">
        <f t="shared" ref="N7:N11" si="1">L7/K7*100</f>
        <v>#DIV/0!</v>
      </c>
    </row>
    <row r="8" spans="1:14" ht="61.5" customHeight="1">
      <c r="A8" s="105"/>
      <c r="B8" s="192" t="s">
        <v>341</v>
      </c>
      <c r="C8" s="199"/>
      <c r="D8" s="199"/>
      <c r="E8" s="199"/>
      <c r="F8" s="199"/>
      <c r="G8" s="199"/>
      <c r="H8" s="199"/>
      <c r="I8" s="199"/>
      <c r="J8" s="194">
        <v>310.8</v>
      </c>
      <c r="K8" s="199"/>
      <c r="L8" s="239">
        <f t="shared" ref="L8:L38" si="2">D8+F8+H8+J8</f>
        <v>310.8</v>
      </c>
      <c r="M8" s="239">
        <f t="shared" si="0"/>
        <v>310.8</v>
      </c>
      <c r="N8" s="239" t="e">
        <f t="shared" si="1"/>
        <v>#DIV/0!</v>
      </c>
    </row>
    <row r="9" spans="1:14" ht="34.5" customHeight="1">
      <c r="A9" s="105"/>
      <c r="B9" s="192" t="s">
        <v>342</v>
      </c>
      <c r="C9" s="199"/>
      <c r="D9" s="199"/>
      <c r="E9" s="199"/>
      <c r="F9" s="199"/>
      <c r="G9" s="199"/>
      <c r="H9" s="199"/>
      <c r="I9" s="199"/>
      <c r="J9" s="194">
        <v>2400</v>
      </c>
      <c r="K9" s="199"/>
      <c r="L9" s="239">
        <f t="shared" si="2"/>
        <v>2400</v>
      </c>
      <c r="M9" s="239">
        <f t="shared" si="0"/>
        <v>2400</v>
      </c>
      <c r="N9" s="239" t="e">
        <f t="shared" si="1"/>
        <v>#DIV/0!</v>
      </c>
    </row>
    <row r="10" spans="1:14" ht="33.75" customHeight="1">
      <c r="A10" s="105"/>
      <c r="B10" s="192" t="s">
        <v>343</v>
      </c>
      <c r="C10" s="199"/>
      <c r="D10" s="199"/>
      <c r="E10" s="199"/>
      <c r="F10" s="199"/>
      <c r="G10" s="199"/>
      <c r="H10" s="199"/>
      <c r="I10" s="199"/>
      <c r="J10" s="194">
        <v>55</v>
      </c>
      <c r="K10" s="199"/>
      <c r="L10" s="239">
        <f t="shared" si="2"/>
        <v>55</v>
      </c>
      <c r="M10" s="239">
        <f t="shared" si="0"/>
        <v>55</v>
      </c>
      <c r="N10" s="239" t="e">
        <f t="shared" si="1"/>
        <v>#DIV/0!</v>
      </c>
    </row>
    <row r="11" spans="1:14" ht="48" customHeight="1">
      <c r="A11" s="105"/>
      <c r="B11" s="192" t="s">
        <v>344</v>
      </c>
      <c r="C11" s="199"/>
      <c r="D11" s="199"/>
      <c r="E11" s="199"/>
      <c r="F11" s="199"/>
      <c r="G11" s="199"/>
      <c r="H11" s="199"/>
      <c r="I11" s="199"/>
      <c r="J11" s="194">
        <v>74.5</v>
      </c>
      <c r="K11" s="199"/>
      <c r="L11" s="239">
        <f t="shared" si="2"/>
        <v>74.5</v>
      </c>
      <c r="M11" s="239">
        <f t="shared" si="0"/>
        <v>74.5</v>
      </c>
      <c r="N11" s="239" t="e">
        <f t="shared" si="1"/>
        <v>#DIV/0!</v>
      </c>
    </row>
    <row r="12" spans="1:14" ht="51" customHeight="1">
      <c r="A12" s="75"/>
      <c r="B12" s="192" t="s">
        <v>348</v>
      </c>
      <c r="C12" s="19"/>
      <c r="D12" s="200"/>
      <c r="E12" s="19"/>
      <c r="F12" s="76"/>
      <c r="G12" s="19"/>
      <c r="H12" s="200"/>
      <c r="I12" s="77"/>
      <c r="J12" s="185">
        <v>998.6</v>
      </c>
      <c r="K12" s="239"/>
      <c r="L12" s="239">
        <f t="shared" si="2"/>
        <v>998.6</v>
      </c>
      <c r="M12" s="239">
        <f t="shared" si="0"/>
        <v>998.6</v>
      </c>
      <c r="N12" s="239" t="e">
        <f t="shared" ref="N12:N39" si="3">L12/K12*100</f>
        <v>#DIV/0!</v>
      </c>
    </row>
    <row r="13" spans="1:14" ht="47.25">
      <c r="A13" s="75"/>
      <c r="B13" s="192" t="s">
        <v>346</v>
      </c>
      <c r="C13" s="19"/>
      <c r="D13" s="200"/>
      <c r="E13" s="19"/>
      <c r="F13" s="76"/>
      <c r="G13" s="19"/>
      <c r="H13" s="200"/>
      <c r="I13" s="77"/>
      <c r="J13" s="185">
        <v>109.5</v>
      </c>
      <c r="K13" s="239"/>
      <c r="L13" s="239">
        <f t="shared" si="2"/>
        <v>109.5</v>
      </c>
      <c r="M13" s="239">
        <f t="shared" si="0"/>
        <v>109.5</v>
      </c>
      <c r="N13" s="239" t="e">
        <f t="shared" si="3"/>
        <v>#DIV/0!</v>
      </c>
    </row>
    <row r="14" spans="1:14" ht="47.25">
      <c r="A14" s="75"/>
      <c r="B14" s="193" t="s">
        <v>347</v>
      </c>
      <c r="C14" s="19"/>
      <c r="D14" s="200"/>
      <c r="E14" s="19"/>
      <c r="F14" s="76"/>
      <c r="G14" s="19"/>
      <c r="H14" s="200"/>
      <c r="I14" s="77"/>
      <c r="J14" s="185">
        <v>22.5</v>
      </c>
      <c r="K14" s="239"/>
      <c r="L14" s="239">
        <f t="shared" si="2"/>
        <v>22.5</v>
      </c>
      <c r="M14" s="239">
        <f t="shared" si="0"/>
        <v>22.5</v>
      </c>
      <c r="N14" s="239" t="e">
        <f t="shared" si="3"/>
        <v>#DIV/0!</v>
      </c>
    </row>
    <row r="15" spans="1:14" ht="28.5" customHeight="1">
      <c r="A15" s="75"/>
      <c r="B15" s="192" t="s">
        <v>345</v>
      </c>
      <c r="C15" s="199"/>
      <c r="D15" s="199"/>
      <c r="E15" s="199"/>
      <c r="F15" s="199"/>
      <c r="G15" s="199"/>
      <c r="H15" s="240">
        <v>42.9</v>
      </c>
      <c r="I15" s="77"/>
      <c r="J15" s="77"/>
      <c r="K15" s="239"/>
      <c r="L15" s="239">
        <f t="shared" si="2"/>
        <v>42.9</v>
      </c>
      <c r="M15" s="239">
        <f t="shared" si="0"/>
        <v>42.9</v>
      </c>
      <c r="N15" s="239" t="e">
        <f t="shared" si="3"/>
        <v>#DIV/0!</v>
      </c>
    </row>
    <row r="16" spans="1:14" ht="46.5" customHeight="1">
      <c r="A16" s="75"/>
      <c r="B16" s="243" t="s">
        <v>377</v>
      </c>
      <c r="C16" s="199"/>
      <c r="D16" s="199"/>
      <c r="E16" s="199"/>
      <c r="F16" s="240">
        <v>125204.1</v>
      </c>
      <c r="G16" s="199"/>
      <c r="H16" s="240"/>
      <c r="I16" s="77"/>
      <c r="J16" s="77"/>
      <c r="K16" s="239"/>
      <c r="L16" s="239">
        <f t="shared" si="2"/>
        <v>125204.1</v>
      </c>
      <c r="M16" s="239">
        <f t="shared" si="0"/>
        <v>125204.1</v>
      </c>
      <c r="N16" s="239" t="e">
        <f t="shared" si="3"/>
        <v>#DIV/0!</v>
      </c>
    </row>
    <row r="17" spans="1:14" ht="18" customHeight="1">
      <c r="A17" s="75"/>
      <c r="B17" s="197" t="s">
        <v>350</v>
      </c>
      <c r="C17" s="199"/>
      <c r="D17" s="199"/>
      <c r="E17" s="199"/>
      <c r="F17" s="199"/>
      <c r="G17" s="199"/>
      <c r="H17" s="240">
        <v>3567.6</v>
      </c>
      <c r="I17" s="77"/>
      <c r="J17" s="77"/>
      <c r="K17" s="239"/>
      <c r="L17" s="239">
        <f t="shared" si="2"/>
        <v>3567.6</v>
      </c>
      <c r="M17" s="239">
        <f t="shared" si="0"/>
        <v>3567.6</v>
      </c>
      <c r="N17" s="239" t="e">
        <f t="shared" si="3"/>
        <v>#DIV/0!</v>
      </c>
    </row>
    <row r="18" spans="1:14" ht="18" customHeight="1">
      <c r="A18" s="75"/>
      <c r="B18" s="197" t="s">
        <v>351</v>
      </c>
      <c r="C18" s="199"/>
      <c r="D18" s="199"/>
      <c r="E18" s="199"/>
      <c r="F18" s="199"/>
      <c r="G18" s="199"/>
      <c r="H18" s="240">
        <v>1045.5</v>
      </c>
      <c r="I18" s="77"/>
      <c r="J18" s="77"/>
      <c r="K18" s="239"/>
      <c r="L18" s="239">
        <f t="shared" si="2"/>
        <v>1045.5</v>
      </c>
      <c r="M18" s="239">
        <f t="shared" si="0"/>
        <v>1045.5</v>
      </c>
      <c r="N18" s="239" t="e">
        <f t="shared" si="3"/>
        <v>#DIV/0!</v>
      </c>
    </row>
    <row r="19" spans="1:14" ht="18" customHeight="1">
      <c r="A19" s="75"/>
      <c r="B19" s="197" t="s">
        <v>352</v>
      </c>
      <c r="C19" s="199"/>
      <c r="D19" s="199"/>
      <c r="E19" s="199"/>
      <c r="F19" s="199"/>
      <c r="G19" s="199"/>
      <c r="H19" s="240">
        <v>106.5</v>
      </c>
      <c r="I19" s="77"/>
      <c r="J19" s="77"/>
      <c r="K19" s="239"/>
      <c r="L19" s="239">
        <f t="shared" si="2"/>
        <v>106.5</v>
      </c>
      <c r="M19" s="239">
        <f t="shared" si="0"/>
        <v>106.5</v>
      </c>
      <c r="N19" s="239" t="e">
        <f t="shared" si="3"/>
        <v>#DIV/0!</v>
      </c>
    </row>
    <row r="20" spans="1:14" ht="18" customHeight="1">
      <c r="A20" s="75"/>
      <c r="B20" s="197" t="s">
        <v>353</v>
      </c>
      <c r="C20" s="199"/>
      <c r="D20" s="199"/>
      <c r="E20" s="199"/>
      <c r="F20" s="199"/>
      <c r="G20" s="199"/>
      <c r="H20" s="240">
        <v>1213.7</v>
      </c>
      <c r="I20" s="77"/>
      <c r="J20" s="77"/>
      <c r="K20" s="239"/>
      <c r="L20" s="239">
        <f t="shared" si="2"/>
        <v>1213.7</v>
      </c>
      <c r="M20" s="239">
        <f t="shared" si="0"/>
        <v>1213.7</v>
      </c>
      <c r="N20" s="239" t="e">
        <f t="shared" si="3"/>
        <v>#DIV/0!</v>
      </c>
    </row>
    <row r="21" spans="1:14" ht="18" customHeight="1">
      <c r="A21" s="75"/>
      <c r="B21" s="197" t="s">
        <v>354</v>
      </c>
      <c r="C21" s="199"/>
      <c r="D21" s="199"/>
      <c r="E21" s="199"/>
      <c r="F21" s="199"/>
      <c r="G21" s="199"/>
      <c r="H21" s="240">
        <v>378</v>
      </c>
      <c r="I21" s="77"/>
      <c r="J21" s="77"/>
      <c r="K21" s="239"/>
      <c r="L21" s="239">
        <f t="shared" si="2"/>
        <v>378</v>
      </c>
      <c r="M21" s="239">
        <f t="shared" si="0"/>
        <v>378</v>
      </c>
      <c r="N21" s="239" t="e">
        <f t="shared" si="3"/>
        <v>#DIV/0!</v>
      </c>
    </row>
    <row r="22" spans="1:14" ht="27.75" customHeight="1">
      <c r="A22" s="75"/>
      <c r="B22" s="197" t="s">
        <v>355</v>
      </c>
      <c r="C22" s="199"/>
      <c r="D22" s="199"/>
      <c r="E22" s="199"/>
      <c r="F22" s="199"/>
      <c r="G22" s="199"/>
      <c r="H22" s="240">
        <v>432</v>
      </c>
      <c r="I22" s="77"/>
      <c r="J22" s="77"/>
      <c r="K22" s="239"/>
      <c r="L22" s="239">
        <f t="shared" si="2"/>
        <v>432</v>
      </c>
      <c r="M22" s="239">
        <f t="shared" si="0"/>
        <v>432</v>
      </c>
      <c r="N22" s="239" t="e">
        <f t="shared" si="3"/>
        <v>#DIV/0!</v>
      </c>
    </row>
    <row r="23" spans="1:14" ht="18" customHeight="1">
      <c r="A23" s="75"/>
      <c r="B23" s="197" t="s">
        <v>356</v>
      </c>
      <c r="C23" s="199"/>
      <c r="D23" s="199"/>
      <c r="E23" s="199"/>
      <c r="F23" s="199"/>
      <c r="G23" s="199"/>
      <c r="H23" s="240">
        <v>34</v>
      </c>
      <c r="I23" s="77"/>
      <c r="J23" s="77"/>
      <c r="K23" s="239"/>
      <c r="L23" s="239">
        <f t="shared" si="2"/>
        <v>34</v>
      </c>
      <c r="M23" s="239">
        <f t="shared" si="0"/>
        <v>34</v>
      </c>
      <c r="N23" s="239" t="e">
        <f t="shared" si="3"/>
        <v>#DIV/0!</v>
      </c>
    </row>
    <row r="24" spans="1:14" ht="18" customHeight="1">
      <c r="A24" s="75"/>
      <c r="B24" s="197" t="s">
        <v>357</v>
      </c>
      <c r="C24" s="199"/>
      <c r="D24" s="199"/>
      <c r="E24" s="199"/>
      <c r="F24" s="199"/>
      <c r="G24" s="199"/>
      <c r="H24" s="240">
        <v>151</v>
      </c>
      <c r="I24" s="77"/>
      <c r="J24" s="77"/>
      <c r="K24" s="239"/>
      <c r="L24" s="239">
        <f t="shared" si="2"/>
        <v>151</v>
      </c>
      <c r="M24" s="239">
        <f t="shared" si="0"/>
        <v>151</v>
      </c>
      <c r="N24" s="239" t="e">
        <f t="shared" si="3"/>
        <v>#DIV/0!</v>
      </c>
    </row>
    <row r="25" spans="1:14" ht="27.75" customHeight="1">
      <c r="A25" s="75"/>
      <c r="B25" s="197" t="s">
        <v>358</v>
      </c>
      <c r="C25" s="199"/>
      <c r="D25" s="199"/>
      <c r="E25" s="199"/>
      <c r="F25" s="199"/>
      <c r="G25" s="199"/>
      <c r="H25" s="240">
        <v>294.8</v>
      </c>
      <c r="I25" s="77"/>
      <c r="J25" s="77"/>
      <c r="K25" s="239"/>
      <c r="L25" s="239">
        <f t="shared" si="2"/>
        <v>294.8</v>
      </c>
      <c r="M25" s="239">
        <f t="shared" si="0"/>
        <v>294.8</v>
      </c>
      <c r="N25" s="239" t="e">
        <f t="shared" si="3"/>
        <v>#DIV/0!</v>
      </c>
    </row>
    <row r="26" spans="1:14" ht="17.25" customHeight="1">
      <c r="A26" s="75"/>
      <c r="B26" s="197" t="s">
        <v>359</v>
      </c>
      <c r="C26" s="199"/>
      <c r="D26" s="199"/>
      <c r="E26" s="199"/>
      <c r="F26" s="199"/>
      <c r="G26" s="199"/>
      <c r="H26" s="241">
        <v>50</v>
      </c>
      <c r="I26" s="77"/>
      <c r="J26" s="77"/>
      <c r="K26" s="239"/>
      <c r="L26" s="239">
        <f t="shared" si="2"/>
        <v>50</v>
      </c>
      <c r="M26" s="239">
        <f t="shared" si="0"/>
        <v>50</v>
      </c>
      <c r="N26" s="239" t="e">
        <f t="shared" si="3"/>
        <v>#DIV/0!</v>
      </c>
    </row>
    <row r="27" spans="1:14" ht="27.75" customHeight="1">
      <c r="A27" s="75"/>
      <c r="B27" s="197" t="s">
        <v>360</v>
      </c>
      <c r="C27" s="199"/>
      <c r="D27" s="199"/>
      <c r="E27" s="199"/>
      <c r="F27" s="199"/>
      <c r="G27" s="199"/>
      <c r="H27" s="241">
        <v>34.1</v>
      </c>
      <c r="I27" s="77"/>
      <c r="J27" s="77"/>
      <c r="K27" s="239"/>
      <c r="L27" s="239">
        <f t="shared" si="2"/>
        <v>34.1</v>
      </c>
      <c r="M27" s="239">
        <f t="shared" si="0"/>
        <v>34.1</v>
      </c>
      <c r="N27" s="239" t="e">
        <f t="shared" si="3"/>
        <v>#DIV/0!</v>
      </c>
    </row>
    <row r="28" spans="1:14" ht="27.75" customHeight="1">
      <c r="A28" s="75"/>
      <c r="B28" s="197" t="s">
        <v>361</v>
      </c>
      <c r="C28" s="199"/>
      <c r="D28" s="199"/>
      <c r="E28" s="199"/>
      <c r="F28" s="199"/>
      <c r="G28" s="199"/>
      <c r="H28" s="241">
        <v>53.9</v>
      </c>
      <c r="I28" s="77"/>
      <c r="J28" s="77"/>
      <c r="K28" s="239"/>
      <c r="L28" s="239">
        <f t="shared" si="2"/>
        <v>53.9</v>
      </c>
      <c r="M28" s="239">
        <f t="shared" si="0"/>
        <v>53.9</v>
      </c>
      <c r="N28" s="239" t="e">
        <f t="shared" si="3"/>
        <v>#DIV/0!</v>
      </c>
    </row>
    <row r="29" spans="1:14" ht="27.75" customHeight="1">
      <c r="A29" s="75"/>
      <c r="B29" s="197" t="s">
        <v>362</v>
      </c>
      <c r="C29" s="199"/>
      <c r="D29" s="199"/>
      <c r="E29" s="199"/>
      <c r="F29" s="199"/>
      <c r="G29" s="199"/>
      <c r="H29" s="240">
        <v>50</v>
      </c>
      <c r="I29" s="77"/>
      <c r="J29" s="77"/>
      <c r="K29" s="239"/>
      <c r="L29" s="239">
        <f t="shared" si="2"/>
        <v>50</v>
      </c>
      <c r="M29" s="239">
        <f t="shared" si="0"/>
        <v>50</v>
      </c>
      <c r="N29" s="239" t="e">
        <f t="shared" si="3"/>
        <v>#DIV/0!</v>
      </c>
    </row>
    <row r="30" spans="1:14" ht="18" customHeight="1">
      <c r="A30" s="75"/>
      <c r="B30" s="197" t="s">
        <v>363</v>
      </c>
      <c r="C30" s="199"/>
      <c r="D30" s="199"/>
      <c r="E30" s="199"/>
      <c r="F30" s="199"/>
      <c r="G30" s="199"/>
      <c r="H30" s="241">
        <v>50</v>
      </c>
      <c r="I30" s="77"/>
      <c r="J30" s="77"/>
      <c r="K30" s="239"/>
      <c r="L30" s="239">
        <f t="shared" si="2"/>
        <v>50</v>
      </c>
      <c r="M30" s="239">
        <f t="shared" si="0"/>
        <v>50</v>
      </c>
      <c r="N30" s="239" t="e">
        <f t="shared" si="3"/>
        <v>#DIV/0!</v>
      </c>
    </row>
    <row r="31" spans="1:14" ht="27.75" customHeight="1">
      <c r="A31" s="75"/>
      <c r="B31" s="197" t="s">
        <v>364</v>
      </c>
      <c r="C31" s="199"/>
      <c r="D31" s="199"/>
      <c r="E31" s="199"/>
      <c r="F31" s="199"/>
      <c r="G31" s="199"/>
      <c r="H31" s="241">
        <v>3600</v>
      </c>
      <c r="I31" s="77"/>
      <c r="J31" s="77"/>
      <c r="K31" s="239"/>
      <c r="L31" s="239">
        <f t="shared" si="2"/>
        <v>3600</v>
      </c>
      <c r="M31" s="239">
        <f t="shared" si="0"/>
        <v>3600</v>
      </c>
      <c r="N31" s="239" t="e">
        <f t="shared" si="3"/>
        <v>#DIV/0!</v>
      </c>
    </row>
    <row r="32" spans="1:14" ht="17.25" customHeight="1">
      <c r="A32" s="75"/>
      <c r="B32" s="197" t="s">
        <v>365</v>
      </c>
      <c r="C32" s="199"/>
      <c r="D32" s="199"/>
      <c r="E32" s="199"/>
      <c r="F32" s="199"/>
      <c r="G32" s="199"/>
      <c r="H32" s="241">
        <v>141.69999999999999</v>
      </c>
      <c r="I32" s="77"/>
      <c r="J32" s="77"/>
      <c r="K32" s="239"/>
      <c r="L32" s="239">
        <f t="shared" si="2"/>
        <v>141.69999999999999</v>
      </c>
      <c r="M32" s="239">
        <f t="shared" si="0"/>
        <v>141.69999999999999</v>
      </c>
      <c r="N32" s="239" t="e">
        <f t="shared" si="3"/>
        <v>#DIV/0!</v>
      </c>
    </row>
    <row r="33" spans="1:14" ht="27.75" customHeight="1">
      <c r="A33" s="75"/>
      <c r="B33" s="197" t="s">
        <v>366</v>
      </c>
      <c r="C33" s="199"/>
      <c r="D33" s="199"/>
      <c r="E33" s="199"/>
      <c r="F33" s="199"/>
      <c r="G33" s="199"/>
      <c r="H33" s="241">
        <v>2192.9</v>
      </c>
      <c r="I33" s="77"/>
      <c r="J33" s="77"/>
      <c r="K33" s="239"/>
      <c r="L33" s="239">
        <f t="shared" si="2"/>
        <v>2192.9</v>
      </c>
      <c r="M33" s="239">
        <f t="shared" si="0"/>
        <v>2192.9</v>
      </c>
      <c r="N33" s="239" t="e">
        <f t="shared" si="3"/>
        <v>#DIV/0!</v>
      </c>
    </row>
    <row r="34" spans="1:14" ht="27.75" customHeight="1">
      <c r="A34" s="75"/>
      <c r="B34" s="197" t="s">
        <v>367</v>
      </c>
      <c r="C34" s="199"/>
      <c r="D34" s="199"/>
      <c r="E34" s="199"/>
      <c r="F34" s="199"/>
      <c r="G34" s="199"/>
      <c r="H34" s="241">
        <v>2.1</v>
      </c>
      <c r="I34" s="77"/>
      <c r="J34" s="77"/>
      <c r="K34" s="239"/>
      <c r="L34" s="239">
        <f t="shared" si="2"/>
        <v>2.1</v>
      </c>
      <c r="M34" s="239">
        <f t="shared" si="0"/>
        <v>2.1</v>
      </c>
      <c r="N34" s="239" t="e">
        <f t="shared" si="3"/>
        <v>#DIV/0!</v>
      </c>
    </row>
    <row r="35" spans="1:14" ht="18" customHeight="1">
      <c r="A35" s="75"/>
      <c r="B35" s="197" t="s">
        <v>357</v>
      </c>
      <c r="C35" s="199"/>
      <c r="D35" s="199"/>
      <c r="E35" s="199"/>
      <c r="F35" s="199"/>
      <c r="G35" s="199"/>
      <c r="H35" s="241">
        <v>123</v>
      </c>
      <c r="I35" s="77"/>
      <c r="J35" s="77"/>
      <c r="K35" s="239"/>
      <c r="L35" s="239">
        <f t="shared" si="2"/>
        <v>123</v>
      </c>
      <c r="M35" s="239">
        <f t="shared" si="0"/>
        <v>123</v>
      </c>
      <c r="N35" s="239" t="e">
        <f t="shared" si="3"/>
        <v>#DIV/0!</v>
      </c>
    </row>
    <row r="36" spans="1:14" ht="18" customHeight="1">
      <c r="A36" s="75"/>
      <c r="B36" s="197" t="s">
        <v>368</v>
      </c>
      <c r="C36" s="199"/>
      <c r="D36" s="199"/>
      <c r="E36" s="199"/>
      <c r="F36" s="199"/>
      <c r="G36" s="199"/>
      <c r="H36" s="241">
        <v>148.4</v>
      </c>
      <c r="I36" s="77"/>
      <c r="J36" s="77"/>
      <c r="K36" s="239"/>
      <c r="L36" s="239">
        <f t="shared" si="2"/>
        <v>148.4</v>
      </c>
      <c r="M36" s="239">
        <f t="shared" si="0"/>
        <v>148.4</v>
      </c>
      <c r="N36" s="239" t="e">
        <f t="shared" si="3"/>
        <v>#DIV/0!</v>
      </c>
    </row>
    <row r="37" spans="1:14" ht="36" customHeight="1">
      <c r="A37" s="105">
        <v>2</v>
      </c>
      <c r="B37" s="106" t="s">
        <v>80</v>
      </c>
      <c r="C37" s="199">
        <f t="shared" ref="C37:H37" si="4">SUM(C38:C38)</f>
        <v>0</v>
      </c>
      <c r="D37" s="199">
        <f t="shared" si="4"/>
        <v>0</v>
      </c>
      <c r="E37" s="199">
        <f t="shared" si="4"/>
        <v>0</v>
      </c>
      <c r="F37" s="199">
        <f t="shared" si="4"/>
        <v>0</v>
      </c>
      <c r="G37" s="199">
        <f t="shared" si="4"/>
        <v>0</v>
      </c>
      <c r="H37" s="199">
        <f t="shared" si="4"/>
        <v>0</v>
      </c>
      <c r="I37" s="199"/>
      <c r="J37" s="199">
        <f>SUM(J38:J38)</f>
        <v>0</v>
      </c>
      <c r="K37" s="199">
        <f t="shared" ref="K37:K38" si="5">SUM(C37,E37,G37,I37)</f>
        <v>0</v>
      </c>
      <c r="L37" s="239">
        <f t="shared" si="2"/>
        <v>0</v>
      </c>
      <c r="M37" s="239">
        <f t="shared" ref="M37" si="6">L37-K37</f>
        <v>0</v>
      </c>
      <c r="N37" s="239"/>
    </row>
    <row r="38" spans="1:14" ht="17.25" customHeight="1">
      <c r="A38" s="75"/>
      <c r="B38" s="107"/>
      <c r="C38" s="19"/>
      <c r="D38" s="76"/>
      <c r="E38" s="19"/>
      <c r="F38" s="76"/>
      <c r="G38" s="19"/>
      <c r="H38" s="76"/>
      <c r="I38" s="19"/>
      <c r="J38" s="19"/>
      <c r="K38" s="199">
        <f t="shared" si="5"/>
        <v>0</v>
      </c>
      <c r="L38" s="239">
        <f t="shared" si="2"/>
        <v>0</v>
      </c>
      <c r="M38" s="239">
        <f t="shared" ref="M38:M39" si="7">L38-K38</f>
        <v>0</v>
      </c>
      <c r="N38" s="239"/>
    </row>
    <row r="39" spans="1:14" ht="21" customHeight="1">
      <c r="A39" s="303" t="s">
        <v>7</v>
      </c>
      <c r="B39" s="303"/>
      <c r="C39" s="201">
        <f t="shared" ref="C39:L39" si="8">SUM(C6,C37)</f>
        <v>0</v>
      </c>
      <c r="D39" s="201">
        <f t="shared" si="8"/>
        <v>0</v>
      </c>
      <c r="E39" s="201">
        <f t="shared" si="8"/>
        <v>0</v>
      </c>
      <c r="F39" s="201">
        <f t="shared" si="8"/>
        <v>125204.1</v>
      </c>
      <c r="G39" s="201">
        <f t="shared" si="8"/>
        <v>0</v>
      </c>
      <c r="H39" s="201">
        <f t="shared" si="8"/>
        <v>13712.1</v>
      </c>
      <c r="I39" s="201">
        <f t="shared" si="8"/>
        <v>0</v>
      </c>
      <c r="J39" s="201">
        <f t="shared" si="8"/>
        <v>7170.9000000000005</v>
      </c>
      <c r="K39" s="201">
        <f t="shared" si="8"/>
        <v>0</v>
      </c>
      <c r="L39" s="201">
        <f t="shared" si="8"/>
        <v>146087.1</v>
      </c>
      <c r="M39" s="199">
        <f t="shared" si="7"/>
        <v>146087.1</v>
      </c>
      <c r="N39" s="199" t="e">
        <f t="shared" si="3"/>
        <v>#DIV/0!</v>
      </c>
    </row>
    <row r="40" spans="1:14" s="9" customFormat="1" ht="67.5" customHeight="1">
      <c r="A40" s="78"/>
      <c r="B40" s="306" t="s">
        <v>141</v>
      </c>
      <c r="C40" s="306"/>
      <c r="D40" s="97"/>
      <c r="E40" s="97"/>
      <c r="F40" s="96"/>
      <c r="G40" s="97"/>
      <c r="H40" s="307" t="s">
        <v>142</v>
      </c>
      <c r="I40" s="307"/>
      <c r="J40" s="307"/>
      <c r="K40" s="78"/>
      <c r="L40" s="78"/>
      <c r="M40" s="78"/>
      <c r="N40" s="78"/>
    </row>
    <row r="41" spans="1:14" s="2" customFormat="1" ht="19.5" customHeight="1">
      <c r="A41" s="34"/>
      <c r="B41" s="34" t="s">
        <v>8</v>
      </c>
      <c r="C41" s="108"/>
      <c r="D41" s="108"/>
      <c r="E41" s="295" t="s">
        <v>274</v>
      </c>
      <c r="F41" s="295"/>
      <c r="G41" s="295"/>
      <c r="H41" s="295"/>
      <c r="I41" s="295" t="s">
        <v>14</v>
      </c>
      <c r="J41" s="295"/>
      <c r="K41" s="295"/>
      <c r="L41" s="34"/>
      <c r="M41" s="34"/>
      <c r="N41" s="34"/>
    </row>
    <row r="42" spans="1:14" ht="20.100000000000001" customHeight="1">
      <c r="A42" s="74"/>
      <c r="B42" s="79"/>
      <c r="C42" s="80"/>
      <c r="D42" s="80"/>
      <c r="E42" s="81"/>
      <c r="F42" s="81"/>
    </row>
    <row r="43" spans="1:14" s="297" customFormat="1" ht="19.149999999999999" customHeight="1">
      <c r="A43" s="296" t="s">
        <v>46</v>
      </c>
    </row>
    <row r="46" spans="1:14">
      <c r="B46" s="82"/>
    </row>
  </sheetData>
  <mergeCells count="15">
    <mergeCell ref="A1:M1"/>
    <mergeCell ref="G41:H41"/>
    <mergeCell ref="A43:XFD43"/>
    <mergeCell ref="A3:A4"/>
    <mergeCell ref="K3:N3"/>
    <mergeCell ref="A39:B39"/>
    <mergeCell ref="B3:B4"/>
    <mergeCell ref="I3:J3"/>
    <mergeCell ref="G3:H3"/>
    <mergeCell ref="E3:F3"/>
    <mergeCell ref="C3:D3"/>
    <mergeCell ref="E41:F41"/>
    <mergeCell ref="B40:C40"/>
    <mergeCell ref="H40:J40"/>
    <mergeCell ref="I41:K41"/>
  </mergeCells>
  <phoneticPr fontId="3" type="noConversion"/>
  <pageMargins left="0.82677165354330717" right="0.35433070866141736" top="0.59055118110236227" bottom="0.59055118110236227" header="0.19685039370078741" footer="0.31496062992125984"/>
  <pageSetup paperSize="9" scale="75" orientation="landscape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8</vt:i4>
      </vt:variant>
    </vt:vector>
  </HeadingPairs>
  <TitlesOfParts>
    <vt:vector size="13" baseType="lpstr">
      <vt:lpstr>Звіт про виконання показ фінпла</vt:lpstr>
      <vt:lpstr>Розшифровка 1 до Формування</vt:lpstr>
      <vt:lpstr>Розшифровка 2 до формування</vt:lpstr>
      <vt:lpstr>Розшифровка кап</vt:lpstr>
      <vt:lpstr>Розшифровка за джерелами</vt:lpstr>
      <vt:lpstr>'Звіт про виконання показ фінпла'!Заголовки_для_печати</vt:lpstr>
      <vt:lpstr>'Розшифровка 1 до Формування'!Заголовки_для_печати</vt:lpstr>
      <vt:lpstr>'Розшифровка 2 до формування'!Заголовки_для_печати</vt:lpstr>
      <vt:lpstr>'Звіт про виконання показ фінпла'!Область_печати</vt:lpstr>
      <vt:lpstr>'Розшифровка 1 до Формування'!Область_печати</vt:lpstr>
      <vt:lpstr>'Розшифровка 2 до формування'!Область_печати</vt:lpstr>
      <vt:lpstr>'Розшифровка за джерелами'!Область_печати</vt:lpstr>
      <vt:lpstr>'Розшифровка кап'!Область_печати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User</cp:lastModifiedBy>
  <cp:lastPrinted>2022-08-23T06:52:53Z</cp:lastPrinted>
  <dcterms:created xsi:type="dcterms:W3CDTF">2003-03-13T16:00:22Z</dcterms:created>
  <dcterms:modified xsi:type="dcterms:W3CDTF">2022-09-21T08:54:52Z</dcterms:modified>
</cp:coreProperties>
</file>